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gust 2024" sheetId="1" r:id="rId4"/>
  </sheets>
  <definedNames/>
  <calcPr/>
</workbook>
</file>

<file path=xl/sharedStrings.xml><?xml version="1.0" encoding="utf-8"?>
<sst xmlns="http://schemas.openxmlformats.org/spreadsheetml/2006/main" count="51381" uniqueCount="10447">
  <si>
    <t>Country, province from</t>
  </si>
  <si>
    <t>Country, province to</t>
  </si>
  <si>
    <t>Route</t>
  </si>
  <si>
    <t>Link</t>
  </si>
  <si>
    <t>Class</t>
  </si>
  <si>
    <t>Australia, Agnes Water</t>
  </si>
  <si>
    <t>Australia, Airlie Beach</t>
  </si>
  <si>
    <t>Agnes Water - Airlie Beach</t>
  </si>
  <si>
    <t>bus</t>
  </si>
  <si>
    <t>Agnes Water - Port Of Airlie</t>
  </si>
  <si>
    <t>Australia, Albury</t>
  </si>
  <si>
    <t>Australia, Sydney Airport</t>
  </si>
  <si>
    <t>Albury - Sydney International Airport</t>
  </si>
  <si>
    <t>Australia, Bilinga</t>
  </si>
  <si>
    <t>Australia, Brisbane</t>
  </si>
  <si>
    <t>Bilinga - Brisbane</t>
  </si>
  <si>
    <t>Bilinga - Brisbane Coach Terminal</t>
  </si>
  <si>
    <t>Australia, Brisbane Airport</t>
  </si>
  <si>
    <t>Bilinga - Brisbane Airport</t>
  </si>
  <si>
    <t>Bilinga - Brisbane Domestic Airport</t>
  </si>
  <si>
    <t>Bilinga - Brisbane International Airport</t>
  </si>
  <si>
    <t>Australia, Byron Bay NSW</t>
  </si>
  <si>
    <t>Bilinga - Byron Bay</t>
  </si>
  <si>
    <t>Bilinga - Byron Bay Nsw</t>
  </si>
  <si>
    <t>Australia, Gold Coast City</t>
  </si>
  <si>
    <t>Bilinga - Surfers Paradise Gold Coast</t>
  </si>
  <si>
    <t>Bilinga - Gold Coast City</t>
  </si>
  <si>
    <t>Australia, Southport Gold Coast</t>
  </si>
  <si>
    <t>Bilinga - Southport Gold Coast</t>
  </si>
  <si>
    <t>Australia, Surfers Paradise</t>
  </si>
  <si>
    <t>Bilinga - Surfers Paradise</t>
  </si>
  <si>
    <t>Australia, Blackwater</t>
  </si>
  <si>
    <t>Australia, Rockhampton</t>
  </si>
  <si>
    <t>Blackwater - Rockhampton Railway</t>
  </si>
  <si>
    <t>Brisbane Coach Terminal - Agnes Water</t>
  </si>
  <si>
    <t>Brisbane - Agnes Water</t>
  </si>
  <si>
    <t>Australia, Woolgoolga</t>
  </si>
  <si>
    <t>Brisbane Coach Terminal - Arrawarra</t>
  </si>
  <si>
    <t>Australia, Yamba</t>
  </si>
  <si>
    <t>Brisbane Coach Terminal - Yamba</t>
  </si>
  <si>
    <t>Australia, Broome</t>
  </si>
  <si>
    <t>Australia, Willare</t>
  </si>
  <si>
    <t>Broome - Willare</t>
  </si>
  <si>
    <t>Australia, Bundaberg</t>
  </si>
  <si>
    <t>Australia, Cooroy</t>
  </si>
  <si>
    <t>Bundaberg - Cooroy Sunshine Coast</t>
  </si>
  <si>
    <t>Australia, Canberra</t>
  </si>
  <si>
    <t>Australia, Snowy Monaro</t>
  </si>
  <si>
    <t>Canberra - Snowy Monaro</t>
  </si>
  <si>
    <t>Australia, Cassowary Coast</t>
  </si>
  <si>
    <t>Australia, Ayr</t>
  </si>
  <si>
    <t>Cassowary Coast - Ayr</t>
  </si>
  <si>
    <t>Australia, Burdekin Shire</t>
  </si>
  <si>
    <t>Cassowary Coast - Burdekin Shire</t>
  </si>
  <si>
    <t>Australia, Gympie</t>
  </si>
  <si>
    <t>Cassowary Coast - Gympie</t>
  </si>
  <si>
    <t>Australia, Hinchinbrook</t>
  </si>
  <si>
    <t>Cassowary Coast - Hinchinbrook</t>
  </si>
  <si>
    <t>Australia, Ingham</t>
  </si>
  <si>
    <t>Cassowary Coast - Ingham</t>
  </si>
  <si>
    <t>Australia, Charleville Queensland</t>
  </si>
  <si>
    <t>Australia, Toowoomba</t>
  </si>
  <si>
    <t>Charleville Queensland - Toowoomba</t>
  </si>
  <si>
    <t>Australia, Winton</t>
  </si>
  <si>
    <t>Charleville Queensland - Winton</t>
  </si>
  <si>
    <t>Australia, Clarence Valley</t>
  </si>
  <si>
    <t>Clarence Valley - Bilinga</t>
  </si>
  <si>
    <t>Australia, Coolangatta</t>
  </si>
  <si>
    <t>Clarence Valley - Coolangatta</t>
  </si>
  <si>
    <t>Australia, Iluka</t>
  </si>
  <si>
    <t>Clarence Valley - Iluka</t>
  </si>
  <si>
    <t>Australia, Tweed Heads</t>
  </si>
  <si>
    <t>Clarence Valley - Tweed Heads</t>
  </si>
  <si>
    <t>Australia, Cooma</t>
  </si>
  <si>
    <t>Australia, Jindabyne</t>
  </si>
  <si>
    <t>Cooma - Jindabyne</t>
  </si>
  <si>
    <t>Australia, Noosa</t>
  </si>
  <si>
    <t>Cooroy Sunshine Coast - Noosa Sunshine Cost</t>
  </si>
  <si>
    <t>Australia, Proserpine</t>
  </si>
  <si>
    <t>Cooroy Sunshine Coast - Proserpine</t>
  </si>
  <si>
    <t>Australia, Erskineville</t>
  </si>
  <si>
    <t>Erskineville - Bilinga</t>
  </si>
  <si>
    <t>Australia, Canberra Airport</t>
  </si>
  <si>
    <t>Erskineville - Canberra Airport</t>
  </si>
  <si>
    <t>Erskineville - Coolangatta</t>
  </si>
  <si>
    <t>Australia, Maclean</t>
  </si>
  <si>
    <t>Erskineville - Maclean</t>
  </si>
  <si>
    <t>Erskineville - Tweed Heads</t>
  </si>
  <si>
    <t>Erskineville - Woolgoolga</t>
  </si>
  <si>
    <t>Australia, Gladstone</t>
  </si>
  <si>
    <t>Australia, Maroochydore</t>
  </si>
  <si>
    <t>Gladstone - Maroochydore Sunshine Coast</t>
  </si>
  <si>
    <t>Canada, Grandview</t>
  </si>
  <si>
    <t>Gladstone - Grandview</t>
  </si>
  <si>
    <t>train</t>
  </si>
  <si>
    <t>Canada, Ochre River</t>
  </si>
  <si>
    <t>Gladstone - Ochre River</t>
  </si>
  <si>
    <t>Canada, Plumas</t>
  </si>
  <si>
    <t>Gladstone - Plumas</t>
  </si>
  <si>
    <t>Canada, Thicket Portage</t>
  </si>
  <si>
    <t>Gladstone - Thicket Portage</t>
  </si>
  <si>
    <t>Surfers Paradise Gold Coast - Bilinga</t>
  </si>
  <si>
    <t>Gold Coast City - Bilinga</t>
  </si>
  <si>
    <t>Australia, Canterbury NSW</t>
  </si>
  <si>
    <t>Gold Coast City - Canterbury Nsw</t>
  </si>
  <si>
    <t>Gold Coast City - Erskineville</t>
  </si>
  <si>
    <t>Gold Coast City - Iluka</t>
  </si>
  <si>
    <t>Gold Coast City - Maclean</t>
  </si>
  <si>
    <t>Surfers Paradise Gold Coast - Maclean</t>
  </si>
  <si>
    <t>Australia, Potts Point NSW</t>
  </si>
  <si>
    <t>Gold Coast City - Potts Point Nsw</t>
  </si>
  <si>
    <t>Gold Coast City - Tweed Heads</t>
  </si>
  <si>
    <t>Gold Coast City - Yamba</t>
  </si>
  <si>
    <t>Surfers Paradise Gold Coast - Yamba</t>
  </si>
  <si>
    <t>Australia, Grafton</t>
  </si>
  <si>
    <t>Grafton - Yamba</t>
  </si>
  <si>
    <t>Australia, Fraser Coast</t>
  </si>
  <si>
    <t>Gympie - Fraser Coast</t>
  </si>
  <si>
    <t>Iluka - Canterbury Nsw</t>
  </si>
  <si>
    <t>Iluka - Erskineville</t>
  </si>
  <si>
    <t>Iluka - Potts Point Nsw</t>
  </si>
  <si>
    <t>Australia, Innisfail</t>
  </si>
  <si>
    <t>Innisfail - Gympie</t>
  </si>
  <si>
    <t>Australia, Ipswich City</t>
  </si>
  <si>
    <t>Australia, Dalby</t>
  </si>
  <si>
    <t>Ipswich City - Dalby</t>
  </si>
  <si>
    <t>Australia, Western Downs</t>
  </si>
  <si>
    <t>Ipswich City - Western Downs</t>
  </si>
  <si>
    <t>Australia, Kempsey</t>
  </si>
  <si>
    <t>Kempsey - Canterbury Nsw</t>
  </si>
  <si>
    <t>Kempsey - Erskineville</t>
  </si>
  <si>
    <t>Australia, Hastings Shire</t>
  </si>
  <si>
    <t>Kempsey - Hastings Shire</t>
  </si>
  <si>
    <t>Kempsey - Potts Point Nsw</t>
  </si>
  <si>
    <t>Australia, Ballina</t>
  </si>
  <si>
    <t>Maclean - Ballina</t>
  </si>
  <si>
    <t>Australia, Cairns</t>
  </si>
  <si>
    <t>Maroochydore Sunshine Coast - Cairns Bus Stop</t>
  </si>
  <si>
    <t>Maroochydore Sunshine Coast - Gympie</t>
  </si>
  <si>
    <t>Australia, Maryborough</t>
  </si>
  <si>
    <t>Maroochydore Sunshine Coast - Maryborough</t>
  </si>
  <si>
    <t>Australia, Townsville</t>
  </si>
  <si>
    <t>Maroochydore Sunshine Coast - Townsville</t>
  </si>
  <si>
    <t>Maryborough - Maroochydore Sunshine Coast</t>
  </si>
  <si>
    <t>Australia, Mooloolaba</t>
  </si>
  <si>
    <t>Mooloolaba - Gympie</t>
  </si>
  <si>
    <t>Australia, Murweh</t>
  </si>
  <si>
    <t>Murweh - Winton</t>
  </si>
  <si>
    <t>Australia, Newcastle New South Wales</t>
  </si>
  <si>
    <t>India, Ahmedabad</t>
  </si>
  <si>
    <t>Broadmeadow - Ahmedabad Jn</t>
  </si>
  <si>
    <t>Newcastle New South Wales - Ahmedabad</t>
  </si>
  <si>
    <t>India, Gooty</t>
  </si>
  <si>
    <t>Broadmeadow - Gooty</t>
  </si>
  <si>
    <t>Newcastle New South Wales - Gooty</t>
  </si>
  <si>
    <t>India, Gujarat</t>
  </si>
  <si>
    <t>Newcastle New South Wales - Gujarat</t>
  </si>
  <si>
    <t>India, Kalaburagi</t>
  </si>
  <si>
    <t>Broadmeadow - Kalaburagi Junction</t>
  </si>
  <si>
    <t>Newcastle New South Wales - Kalaburagi</t>
  </si>
  <si>
    <t>India, Kurnool</t>
  </si>
  <si>
    <t>Broadmeadow - Kurnool Town</t>
  </si>
  <si>
    <t>Newcastle New South Wales - Kurnool</t>
  </si>
  <si>
    <t>India, Maharashtra</t>
  </si>
  <si>
    <t>Broadmeadow - Miraj Junction</t>
  </si>
  <si>
    <t>India, Margao</t>
  </si>
  <si>
    <t>Newcastle New South Wales - Margao</t>
  </si>
  <si>
    <t>India, Mathura</t>
  </si>
  <si>
    <t>Broadmeadow - Mathura Jn</t>
  </si>
  <si>
    <t>Newcastle New South Wales - Mathura</t>
  </si>
  <si>
    <t>India, Miraj</t>
  </si>
  <si>
    <t>Newcastle New South Wales - Miraj</t>
  </si>
  <si>
    <t>India, Mysore</t>
  </si>
  <si>
    <t>Broadmeadow - Mysore Jn</t>
  </si>
  <si>
    <t>Newcastle New South Wales - Mysore</t>
  </si>
  <si>
    <t>India, Sangli</t>
  </si>
  <si>
    <t>Newcastle New South Wales - Sangli</t>
  </si>
  <si>
    <t>India, Shimoga</t>
  </si>
  <si>
    <t>Broadmeadow - Shimoga Town</t>
  </si>
  <si>
    <t>Newcastle New South Wales - Shimoga</t>
  </si>
  <si>
    <t>India, Surat</t>
  </si>
  <si>
    <t>Broadmeadow - Surat</t>
  </si>
  <si>
    <t>Newcastle New South Wales - Surat</t>
  </si>
  <si>
    <t>India, Tumakuru</t>
  </si>
  <si>
    <t>Broadmeadow - Tumkur</t>
  </si>
  <si>
    <t>Newcastle New South Wales - Tumakuru</t>
  </si>
  <si>
    <t>India, Vadodara</t>
  </si>
  <si>
    <t>Broadmeadow - Vadodara</t>
  </si>
  <si>
    <t>Newcastle New South Wales - Vadodara</t>
  </si>
  <si>
    <t>India, Vrindavan</t>
  </si>
  <si>
    <t>Newcastle New South Wales - Vrindavan</t>
  </si>
  <si>
    <t>Proserpine - Cooroy Sunshine Coast</t>
  </si>
  <si>
    <t>Rockhampton - Ayr</t>
  </si>
  <si>
    <t>Rockhampton - Burdekin Shire</t>
  </si>
  <si>
    <t>Australia, Home Hill</t>
  </si>
  <si>
    <t>Rockhampton - Home Hill</t>
  </si>
  <si>
    <t>Rockhampton - Maroochydore Sunshine Coast</t>
  </si>
  <si>
    <t>Australia, The Gemfields</t>
  </si>
  <si>
    <t>Rockhampton - The Gemfields</t>
  </si>
  <si>
    <t>Snowy Monaro - Jindabyne</t>
  </si>
  <si>
    <t>Southport Gold Coast - Bilinga</t>
  </si>
  <si>
    <t>Southport Gold Coast - Coolangatta</t>
  </si>
  <si>
    <t>Southport Gold Coast - Tweed Heads</t>
  </si>
  <si>
    <t>Australia, Sydney</t>
  </si>
  <si>
    <t>Sydney Central Station - Arrawarra</t>
  </si>
  <si>
    <t>Australia, Tempe</t>
  </si>
  <si>
    <t>Tempe - Albury</t>
  </si>
  <si>
    <t>Tempe - Canberra</t>
  </si>
  <si>
    <t>Australia, Melbourne</t>
  </si>
  <si>
    <t>Tempe - Melbourne</t>
  </si>
  <si>
    <t>Australia, Southern Cross</t>
  </si>
  <si>
    <t>Tempe - Southern Cross</t>
  </si>
  <si>
    <t>Australia, Longreach</t>
  </si>
  <si>
    <t>Anakie - Longreach</t>
  </si>
  <si>
    <t>The Gemfields - Longreach</t>
  </si>
  <si>
    <t>Arrawarra - Brisbane Coach Terminal</t>
  </si>
  <si>
    <t>Arrawarra - Sydney Central Station</t>
  </si>
  <si>
    <t>Yamba - Bilinga</t>
  </si>
  <si>
    <t>Yamba - Grafton</t>
  </si>
  <si>
    <t>Cambodia, Banteay Meanchey</t>
  </si>
  <si>
    <t>Cambodia, Phnom Penh</t>
  </si>
  <si>
    <t>Banteay Meanchey - Phnom Penh Transfer</t>
  </si>
  <si>
    <t>charter | Comfort 3pax</t>
  </si>
  <si>
    <t>charter | Economy 3pax</t>
  </si>
  <si>
    <t>charter | Minibus 25pax</t>
  </si>
  <si>
    <t>charter | SUV 3pax</t>
  </si>
  <si>
    <t>charter | Van 10pax</t>
  </si>
  <si>
    <t>charter | Van 17pax</t>
  </si>
  <si>
    <t>charter | Van 8pax</t>
  </si>
  <si>
    <t>Poipet - Phnom Penh Transfer</t>
  </si>
  <si>
    <t>Cambodia, Battambang</t>
  </si>
  <si>
    <t>Battambang Transfer - Phnom Penh Transfer</t>
  </si>
  <si>
    <t>Cambodia, Bokor Mountain</t>
  </si>
  <si>
    <t>Bokor Mountain - Phnom Penh Transfer</t>
  </si>
  <si>
    <t>Cambodia, Kampong Cham</t>
  </si>
  <si>
    <t>Kampong Cham - Phnom Penh Transfer</t>
  </si>
  <si>
    <t>Cambodia, Kampong Chhnang</t>
  </si>
  <si>
    <t>Kampong Chhnang - Phnom Penh Transfer</t>
  </si>
  <si>
    <t>Thailand, Bangkok</t>
  </si>
  <si>
    <t>Kampong Chhnang - Bangkok</t>
  </si>
  <si>
    <t>Cambodia, Kampong Speu</t>
  </si>
  <si>
    <t>Kampong Speu - Phnom Penh Transfer</t>
  </si>
  <si>
    <t>Kirirom National Park - Phnom Penh Transfer</t>
  </si>
  <si>
    <t>Cambodia, Kampong Thom</t>
  </si>
  <si>
    <t>Kampong Thom - Phnom Penh Transfer</t>
  </si>
  <si>
    <t>Cambodia, Kampot</t>
  </si>
  <si>
    <t>Kampot - Phnom Penh Transfer</t>
  </si>
  <si>
    <t>Cambodia, Kandal</t>
  </si>
  <si>
    <t>Kandal - Phnom Penh Transfer</t>
  </si>
  <si>
    <t>Tonle Bati - Phnom Penh Transfer</t>
  </si>
  <si>
    <t>Cambodia, Kep</t>
  </si>
  <si>
    <t>Kep - Phnom Penh Transfer</t>
  </si>
  <si>
    <t>Cambodia, Kien Svay</t>
  </si>
  <si>
    <t>Cambodia, Angkor Wat</t>
  </si>
  <si>
    <t>Kien Svay - Angkor Wat</t>
  </si>
  <si>
    <t>Cambodia, Banlung</t>
  </si>
  <si>
    <t>Kien Svay - Banlung</t>
  </si>
  <si>
    <t>Kien Svay - Battambang</t>
  </si>
  <si>
    <t>Kien Svay - Kampong Cham</t>
  </si>
  <si>
    <t>Kien Svay - Kampong Chhnang</t>
  </si>
  <si>
    <t>Kien Svay - Kampong Thom</t>
  </si>
  <si>
    <t>Kien Svay - Kampot</t>
  </si>
  <si>
    <t>Cambodia, Khum Kaoh Sdach</t>
  </si>
  <si>
    <t>Kien Svay - Khum Kaoh Sdach</t>
  </si>
  <si>
    <t>bus+ferry</t>
  </si>
  <si>
    <t>Cambodia, Koh Kong</t>
  </si>
  <si>
    <t>Kien Svay - Koh Kong</t>
  </si>
  <si>
    <t>Cambodia, Krong Poi Pet</t>
  </si>
  <si>
    <t>Kien Svay - Krong Poi Pet</t>
  </si>
  <si>
    <t>Cambodia, Mondulkiri</t>
  </si>
  <si>
    <t>Kien Svay - Mondulkiri</t>
  </si>
  <si>
    <t>Cambodia, Pailin</t>
  </si>
  <si>
    <t>Kien Svay - Pailin</t>
  </si>
  <si>
    <t>Kien Svay - Phnom Penh Transfer</t>
  </si>
  <si>
    <t>Cambodia, Poipet</t>
  </si>
  <si>
    <t>Kien Svay - Poipet</t>
  </si>
  <si>
    <t>Cambodia, Siem Reap</t>
  </si>
  <si>
    <t>Kien Svay - Siem Reap</t>
  </si>
  <si>
    <t>Cambodia, Stung Treng</t>
  </si>
  <si>
    <t>Kien Svay - Stung Treng</t>
  </si>
  <si>
    <t>Cambodia, Tboung Khmum</t>
  </si>
  <si>
    <t>Kien Svay - Tboung Khmum</t>
  </si>
  <si>
    <t>Thailand, Aranyaprathet</t>
  </si>
  <si>
    <t>Kien Svay - Aranyaprathet</t>
  </si>
  <si>
    <t>Thailand, Trat</t>
  </si>
  <si>
    <t>Kien Svay - Trat</t>
  </si>
  <si>
    <t>Koh Kong - Kien Svay</t>
  </si>
  <si>
    <t>Koh Kong - Phnom Penh Transfer</t>
  </si>
  <si>
    <t>Cambodia, Kratie</t>
  </si>
  <si>
    <t>Kratie - Phnom Penh Transfer</t>
  </si>
  <si>
    <t>Mondulkiri - Phnom Penh Transfer</t>
  </si>
  <si>
    <t>Cambodia, Oudong</t>
  </si>
  <si>
    <t>Oudong - Phnom Penh Transfer</t>
  </si>
  <si>
    <t>Pailin - Phnom Penh Transfer</t>
  </si>
  <si>
    <t>Phnom Penh Transfer - Banteay Meanchey</t>
  </si>
  <si>
    <t>Phnom Penh Transfer - Poipet</t>
  </si>
  <si>
    <t>Phnom Penh Transfer - Battambang Transfer</t>
  </si>
  <si>
    <t>Phnom Penh Transfer - Bokor Mountain</t>
  </si>
  <si>
    <t>Phnom Penh Transfer - Kampong Cham</t>
  </si>
  <si>
    <t>Phnom Penh Transfer - Kampong Chhnang</t>
  </si>
  <si>
    <t>Phnom Penh Transfer - Kampong Speu</t>
  </si>
  <si>
    <t>Phnom Penh Transfer - Kirirom National Park</t>
  </si>
  <si>
    <t>Phnom Penh Transfer - Kampong Thom</t>
  </si>
  <si>
    <t>Phnom Penh Transfer - Kampot</t>
  </si>
  <si>
    <t>Phnom Penh Transfer - Kandal</t>
  </si>
  <si>
    <t>Phnom Penh Transfer - Tonle Bati</t>
  </si>
  <si>
    <t>Phnom Penh Transfer - Kep</t>
  </si>
  <si>
    <t>Phnom Penh Transfer - Kien Svay</t>
  </si>
  <si>
    <t>Phnom Penh Transfer - Koh Kong</t>
  </si>
  <si>
    <t>Phnom Penh Transfer - Kratie</t>
  </si>
  <si>
    <t>Phnom Penh Transfer - Mondulkiri</t>
  </si>
  <si>
    <t>Phnom Penh Transfer - Oudong</t>
  </si>
  <si>
    <t>Phnom Penh Transfer - Pailin</t>
  </si>
  <si>
    <t>Phnom Penh Airport - Phnom Penh Transfer</t>
  </si>
  <si>
    <t>Phnom Penh Transfer - Phnom Penh Airport</t>
  </si>
  <si>
    <t>Sarah Transport Phnom Penh - Sarah Transport Poipet</t>
  </si>
  <si>
    <t>bus | Sleeper 40</t>
  </si>
  <si>
    <t>Cambodia, Preah Vihear</t>
  </si>
  <si>
    <t>Phnom Penh Transfer - Preah Vihear</t>
  </si>
  <si>
    <t>Cambodia, Prey Veng</t>
  </si>
  <si>
    <t>Phnom Penh Transfer - Prey Veng</t>
  </si>
  <si>
    <t>Cambodia, Pursat</t>
  </si>
  <si>
    <t>Phnom Penh Transfer - Pursat</t>
  </si>
  <si>
    <t>Cambodia, Ratanakiri</t>
  </si>
  <si>
    <t>Phnom Penh Transfer - Rattanakiri</t>
  </si>
  <si>
    <t>Phnom Penh Transfer - Siem Reap</t>
  </si>
  <si>
    <t>Cambodia, Sihanoukville</t>
  </si>
  <si>
    <t>Phnom Penh Transfer - Sihanoukville</t>
  </si>
  <si>
    <t>Phnom Penh Transfer - Stung Treng</t>
  </si>
  <si>
    <t>Sarah Transport Phnom Penh - Laos Border</t>
  </si>
  <si>
    <t>Sarah Transport Phnom Penh - Stung Treng Tic Cafe</t>
  </si>
  <si>
    <t>Cambodia, Svay Rieng</t>
  </si>
  <si>
    <t>Phnom Penh Transfer - Svay Rieng</t>
  </si>
  <si>
    <t>Cambodia, Takeo</t>
  </si>
  <si>
    <t>Phnom Penh Transfer - Angkor Borei</t>
  </si>
  <si>
    <t>Phnom Penh Transfer - Chi So</t>
  </si>
  <si>
    <t>Phnom Penh Transfer - Phnom Da</t>
  </si>
  <si>
    <t>Phnom Penh Transfer - Tamao</t>
  </si>
  <si>
    <t>Laos, Champassak</t>
  </si>
  <si>
    <t>Sarah Transport Phnom Penh - Don Khong</t>
  </si>
  <si>
    <t>Laos, Vientiane</t>
  </si>
  <si>
    <t>Sarah Transport Phnom Penh - Sarah Transport Vientiane</t>
  </si>
  <si>
    <t>Sarah Transport Phnom Penh - Emsamang Express Travel</t>
  </si>
  <si>
    <t>Thailand, Chanthaburi</t>
  </si>
  <si>
    <t>Phnom Penh - Chanthaburi</t>
  </si>
  <si>
    <t>Poipet Border - Siem Reap</t>
  </si>
  <si>
    <t>van | Van 12</t>
  </si>
  <si>
    <t>Preah Vihear - Phnom Penh Transfer</t>
  </si>
  <si>
    <t>Prey Veng - Phnom Penh Transfer</t>
  </si>
  <si>
    <t>Pursat - Phnom Penh Transfer</t>
  </si>
  <si>
    <t>Pursat - Bangkok</t>
  </si>
  <si>
    <t>Rattanakiri - Phnom Penh Transfer</t>
  </si>
  <si>
    <t>Siem Reap - Phnom Penh Transfer</t>
  </si>
  <si>
    <t>Sarah Transport Siem Reap - Banlung</t>
  </si>
  <si>
    <t>van | Shared van 13pax</t>
  </si>
  <si>
    <t>Sarah Transport Siem Reap - Sarah Transport Sihanoukville</t>
  </si>
  <si>
    <t>Siem Reap - Laos Border</t>
  </si>
  <si>
    <t>Siem Reap - Bangkok Em Samang</t>
  </si>
  <si>
    <t>Thailand, Pattaya</t>
  </si>
  <si>
    <t>Sarah Transport Siem Reap - Sarah Transport Pattaya</t>
  </si>
  <si>
    <t>Sihanoukville - Phnom Penh Transfer</t>
  </si>
  <si>
    <t>Stung Treng - Phnom Penh Transfer</t>
  </si>
  <si>
    <t>Laos Border - Siem Reap</t>
  </si>
  <si>
    <t>Riverside Restaurant - Champassak Terminal West</t>
  </si>
  <si>
    <t>van | Van + Longtail Boat</t>
  </si>
  <si>
    <t>Riverside Restaurant - Don Det</t>
  </si>
  <si>
    <t>van | Minivan</t>
  </si>
  <si>
    <t>Riverside Restaurant - Don Khone</t>
  </si>
  <si>
    <t>Riverside Restaurant - Don Khong</t>
  </si>
  <si>
    <t>Laos, Nakasong</t>
  </si>
  <si>
    <t>Riverside Restaurant - Green Paradise Nong Nok Khiene Border</t>
  </si>
  <si>
    <t>Laos, Pakse</t>
  </si>
  <si>
    <t>Riverside Restaurant - Green Paradise Pakse</t>
  </si>
  <si>
    <t>Laos, Thakhek</t>
  </si>
  <si>
    <t>Riverside Restaurant - Thakhek</t>
  </si>
  <si>
    <t>van | Van + Sleeper Bus</t>
  </si>
  <si>
    <t>Laos, Vang Vieng</t>
  </si>
  <si>
    <t>Riverside Restaurant - Vang Vieng Bus Terminal</t>
  </si>
  <si>
    <t>van | Minivan + Sleeper Bus + Minivan</t>
  </si>
  <si>
    <t>Riverside Restaurant - Vientiane Southern Bus Station</t>
  </si>
  <si>
    <t>Svay Rieng - Phnom Penh Transfer</t>
  </si>
  <si>
    <t>Angkor Borei - Phnom Penh Transfer</t>
  </si>
  <si>
    <t>Chi So - Phnom Penh Transfer</t>
  </si>
  <si>
    <t>Phnom Da - Phnom Penh Transfer</t>
  </si>
  <si>
    <t>Tamao - Phnom Penh Transfer</t>
  </si>
  <si>
    <t>Canada, Agassiz</t>
  </si>
  <si>
    <t>Canada, Winnipeg</t>
  </si>
  <si>
    <t>Agassiz - Winnipeg</t>
  </si>
  <si>
    <t>Canada, Bathurst New Brunswick</t>
  </si>
  <si>
    <t>Canada, Halifax</t>
  </si>
  <si>
    <t>Bathurst New Brunswick - Halifax</t>
  </si>
  <si>
    <t>Canada, Belleville CA</t>
  </si>
  <si>
    <t>Canada, Cobourg</t>
  </si>
  <si>
    <t>Belleville Ca - Cobourg</t>
  </si>
  <si>
    <t>Canada, Napanee</t>
  </si>
  <si>
    <t>Belleville Ca - Napanee</t>
  </si>
  <si>
    <t>Canada, Biggar</t>
  </si>
  <si>
    <t>Canada, Redditt</t>
  </si>
  <si>
    <t>Biggar - Redditt</t>
  </si>
  <si>
    <t>Canada, Capreol</t>
  </si>
  <si>
    <t>Canada, Vancouver</t>
  </si>
  <si>
    <t>Capreol - Vancouver</t>
  </si>
  <si>
    <t>Canada, Casselman</t>
  </si>
  <si>
    <t>Canada, Alexandria CA</t>
  </si>
  <si>
    <t>Casselman - Alexandria Ca</t>
  </si>
  <si>
    <t>Casselman - Alexandria Ontario</t>
  </si>
  <si>
    <t>Canada, Quebec</t>
  </si>
  <si>
    <t>Casselman - Quebec</t>
  </si>
  <si>
    <t>Canada, Chatham CA</t>
  </si>
  <si>
    <t>Canada, Glencoe</t>
  </si>
  <si>
    <t>Chatham Ca - Glencoe</t>
  </si>
  <si>
    <t>Canada, Chelmsford CA</t>
  </si>
  <si>
    <t>Canada, Larchwood</t>
  </si>
  <si>
    <t>Chelmsford Ca - Larchwood</t>
  </si>
  <si>
    <t>Canada, Sudbury</t>
  </si>
  <si>
    <t>Chelmsford Ca - Sudbury</t>
  </si>
  <si>
    <t>Canada, Clearwater</t>
  </si>
  <si>
    <t>Canada, Ashcroft</t>
  </si>
  <si>
    <t>Clearwater - Ashcroft</t>
  </si>
  <si>
    <t>Canada, Smiths Falls</t>
  </si>
  <si>
    <t>Cobourg - Smiths Falls</t>
  </si>
  <si>
    <t>Canada, Drummondville</t>
  </si>
  <si>
    <t>Australia, Bathurst</t>
  </si>
  <si>
    <t>Drummondville - Bathurst</t>
  </si>
  <si>
    <t>Drummondville - Bathurst New Brunswick</t>
  </si>
  <si>
    <t>Canada, Mont Joli</t>
  </si>
  <si>
    <t>Drummondville - Mont Joli</t>
  </si>
  <si>
    <t>Canada, Edmonton</t>
  </si>
  <si>
    <t>Canada, Parry Sound</t>
  </si>
  <si>
    <t>Edmonton - Parry Sound</t>
  </si>
  <si>
    <t>Canada, Rivers</t>
  </si>
  <si>
    <t>Edmonton - Rivers</t>
  </si>
  <si>
    <t>Canada, Southport Airport</t>
  </si>
  <si>
    <t>Edmonton - Southport Airport</t>
  </si>
  <si>
    <t>Canada, Elma</t>
  </si>
  <si>
    <t>Elma - Ashcroft</t>
  </si>
  <si>
    <t>Canada, Minaki</t>
  </si>
  <si>
    <t>Elma - Minaki</t>
  </si>
  <si>
    <t>Canada, Portage la Prairie</t>
  </si>
  <si>
    <t>Elma - Portage La Prairie</t>
  </si>
  <si>
    <t>Canada, Wainwright CA</t>
  </si>
  <si>
    <t>Elma - Wainwright Ca</t>
  </si>
  <si>
    <t>USA, Wainwright</t>
  </si>
  <si>
    <t>Elma - Wainwright</t>
  </si>
  <si>
    <t>Canada, Gladstone CA</t>
  </si>
  <si>
    <t>Canada, Gilbert Plains</t>
  </si>
  <si>
    <t>Gladstone Ca - Gilbert Plains</t>
  </si>
  <si>
    <t>Gladstone Ca - Grandview</t>
  </si>
  <si>
    <t>Gladstone Ca - Ochre River</t>
  </si>
  <si>
    <t>Gladstone Ca - Plumas</t>
  </si>
  <si>
    <t>Gladstone Ca - Thicket Portage</t>
  </si>
  <si>
    <t>Canada, Brantford</t>
  </si>
  <si>
    <t>Glencoe - Brantford</t>
  </si>
  <si>
    <t>Canada, Kingston Ontario</t>
  </si>
  <si>
    <t>Canada, Port Hope</t>
  </si>
  <si>
    <t>Kingston Ontario - Port Hope</t>
  </si>
  <si>
    <t>Canada, Kitwanga</t>
  </si>
  <si>
    <t>Canada, New Hazelton</t>
  </si>
  <si>
    <t>Kitwanga - New Hazelton</t>
  </si>
  <si>
    <t>Canada, Longlac</t>
  </si>
  <si>
    <t>Longlac - Portage La Prairie</t>
  </si>
  <si>
    <t>Longlac - Redditt</t>
  </si>
  <si>
    <t>Canada, Washago</t>
  </si>
  <si>
    <t>Longlac - Washago</t>
  </si>
  <si>
    <t>Canada, Melville</t>
  </si>
  <si>
    <t>Canada, Unity</t>
  </si>
  <si>
    <t>Melville - Unity</t>
  </si>
  <si>
    <t>Melville - Wainwright Ca</t>
  </si>
  <si>
    <t>Melville - Wainwright</t>
  </si>
  <si>
    <t>Canada, Ottawa</t>
  </si>
  <si>
    <t>Port Hope - Ottawa</t>
  </si>
  <si>
    <t>Rivers - Edmonton</t>
  </si>
  <si>
    <t>Rivers - Elma</t>
  </si>
  <si>
    <t>Rivers - Minaki</t>
  </si>
  <si>
    <t>Canada, Nakina Ontario</t>
  </si>
  <si>
    <t>Rivers - Nakina</t>
  </si>
  <si>
    <t>Rivers - Nakina Ontario</t>
  </si>
  <si>
    <t>Canada, Saskatoon</t>
  </si>
  <si>
    <t>Rivers - Saskatoon</t>
  </si>
  <si>
    <t>Rivers - Vancouver</t>
  </si>
  <si>
    <t>Canada, Roblin</t>
  </si>
  <si>
    <t>Canada, Churchill</t>
  </si>
  <si>
    <t>Roblin - Churchill</t>
  </si>
  <si>
    <t>Canada, Dauphin</t>
  </si>
  <si>
    <t>Roblin - Dauphin</t>
  </si>
  <si>
    <t>Roblin - Thicket Portage</t>
  </si>
  <si>
    <t>Canada, Rogersville</t>
  </si>
  <si>
    <t>Canada, Petit Rocher</t>
  </si>
  <si>
    <t>Rogersville - Petit Rocher</t>
  </si>
  <si>
    <t>Canada, Saint Paulin</t>
  </si>
  <si>
    <t>Canada, Beaudet</t>
  </si>
  <si>
    <t>Saint Paulin - Beaudet</t>
  </si>
  <si>
    <t>Saint Paulin - Pont Beaudet</t>
  </si>
  <si>
    <t>Canada, Joliette</t>
  </si>
  <si>
    <t>Saint Paulin - Joliette</t>
  </si>
  <si>
    <t>Canada, Sioux Lookout</t>
  </si>
  <si>
    <t>Sioux Lookout - Edmonton</t>
  </si>
  <si>
    <t>Sioux Lookout - Vancouver</t>
  </si>
  <si>
    <t>Sioux Lookout - Washago</t>
  </si>
  <si>
    <t>Southport Airport - Winnipeg</t>
  </si>
  <si>
    <t>Canada, White River</t>
  </si>
  <si>
    <t>Sudbury - White River</t>
  </si>
  <si>
    <t>Canada, Telkwa</t>
  </si>
  <si>
    <t>Canada, Smithers</t>
  </si>
  <si>
    <t>Telkwa - Smithers</t>
  </si>
  <si>
    <t>Canada, Toronto</t>
  </si>
  <si>
    <t>Toronto Union - Sioux Lookout</t>
  </si>
  <si>
    <t>Canada, Hinton</t>
  </si>
  <si>
    <t>Wainwright Ca - Hinton</t>
  </si>
  <si>
    <t>Wainwright Ca - Winnipeg</t>
  </si>
  <si>
    <t>Washago - Sioux Lookout</t>
  </si>
  <si>
    <t>China, Ankang</t>
  </si>
  <si>
    <t>China, Shanghai</t>
  </si>
  <si>
    <t>Ankang - Shanghai</t>
  </si>
  <si>
    <t>Ankang - Shanghai South</t>
  </si>
  <si>
    <t>China, Anyang</t>
  </si>
  <si>
    <t>China, Binhai</t>
  </si>
  <si>
    <t>Anyang East - Binhai West</t>
  </si>
  <si>
    <t>Anyang - Binhai</t>
  </si>
  <si>
    <t>Anyang - Tanggu</t>
  </si>
  <si>
    <t>China, Gansu</t>
  </si>
  <si>
    <t>Anyang - Gansu</t>
  </si>
  <si>
    <t>China, Guizhou</t>
  </si>
  <si>
    <t>Anyang - Guizhou</t>
  </si>
  <si>
    <t>China, Guzhang</t>
  </si>
  <si>
    <t>Anyang - Guzhang</t>
  </si>
  <si>
    <t>China, Harbin</t>
  </si>
  <si>
    <t>Anyang East - Harbin</t>
  </si>
  <si>
    <t>Anyang East - Harbin West</t>
  </si>
  <si>
    <t>Anyang - Harbin</t>
  </si>
  <si>
    <t>China, Hebei</t>
  </si>
  <si>
    <t>Anyang - Hebei</t>
  </si>
  <si>
    <t>China, Heilongjiang</t>
  </si>
  <si>
    <t>Anyang - Heilongjiang</t>
  </si>
  <si>
    <t>China, Hubei</t>
  </si>
  <si>
    <t>Anyang - Hubei</t>
  </si>
  <si>
    <t>China, Hunan</t>
  </si>
  <si>
    <t>Anyang - Hunan</t>
  </si>
  <si>
    <t>China, Jiangxi</t>
  </si>
  <si>
    <t>Anyang - Jiangxi</t>
  </si>
  <si>
    <t>China, Jiangzhou</t>
  </si>
  <si>
    <t>Anyang - Jiangzhou</t>
  </si>
  <si>
    <t>China, Jiaocheng</t>
  </si>
  <si>
    <t>Anyang - Jiaocheng</t>
  </si>
  <si>
    <t>China, Lanzhou</t>
  </si>
  <si>
    <t>Anyang - Lanzhou West</t>
  </si>
  <si>
    <t>China, Nanyang</t>
  </si>
  <si>
    <t>Anyang - Nanyang</t>
  </si>
  <si>
    <t>China, Qinghai</t>
  </si>
  <si>
    <t>Anyang - Qinghai</t>
  </si>
  <si>
    <t>China, Saihan</t>
  </si>
  <si>
    <t>Anyang - Saihan</t>
  </si>
  <si>
    <t>China, Shaanxi</t>
  </si>
  <si>
    <t>Anyang - Shaanxi</t>
  </si>
  <si>
    <t>China, Shenyang</t>
  </si>
  <si>
    <t>Anyang East - Shenyang</t>
  </si>
  <si>
    <t>Anyang East - Shenyang North</t>
  </si>
  <si>
    <t>Anyang East - Shenyang South</t>
  </si>
  <si>
    <t>Anyang - Shenyang</t>
  </si>
  <si>
    <t>Anyang - Shenyang North</t>
  </si>
  <si>
    <t>China, Shuangliu</t>
  </si>
  <si>
    <t>Anyang - Shuangliu</t>
  </si>
  <si>
    <t>China, Sichuan</t>
  </si>
  <si>
    <t>Anyang - Sichuan</t>
  </si>
  <si>
    <t>China, Tianxin</t>
  </si>
  <si>
    <t>Anyang - Tianxin</t>
  </si>
  <si>
    <t>China, Wenjiang</t>
  </si>
  <si>
    <t>Anyang - Wenjiang</t>
  </si>
  <si>
    <t>China, Xigu</t>
  </si>
  <si>
    <t>Anyang - Xigu</t>
  </si>
  <si>
    <t>China, Xining</t>
  </si>
  <si>
    <t>Anyang East - Xining</t>
  </si>
  <si>
    <t>Anyang - Xining</t>
  </si>
  <si>
    <t>China, Xinyi</t>
  </si>
  <si>
    <t>Anyang - Xinyi</t>
  </si>
  <si>
    <t>China, Xishui</t>
  </si>
  <si>
    <t>Anyang - Xishui</t>
  </si>
  <si>
    <t>China, Xunxian</t>
  </si>
  <si>
    <t>Anyang - Xunxian</t>
  </si>
  <si>
    <t>China, Xuzhou</t>
  </si>
  <si>
    <t>Anyang East - Xuzhou East</t>
  </si>
  <si>
    <t>Anyang - Xuzhou</t>
  </si>
  <si>
    <t>China, Yuncheng</t>
  </si>
  <si>
    <t>Anyang East - Yuncheng North</t>
  </si>
  <si>
    <t>Anyang - Yuncheng</t>
  </si>
  <si>
    <t>China, Zhengzhou</t>
  </si>
  <si>
    <t>Anyang East - Zhengzhou Hangkonggang</t>
  </si>
  <si>
    <t>China, Baoding</t>
  </si>
  <si>
    <t>China, Kaifeng</t>
  </si>
  <si>
    <t>Baoding East - Kaifeng North</t>
  </si>
  <si>
    <t>Baoding - Kaifeng</t>
  </si>
  <si>
    <t>China, Yanan</t>
  </si>
  <si>
    <t>Baoding - Yanan</t>
  </si>
  <si>
    <t>China, Beijing</t>
  </si>
  <si>
    <t>China, Beijing Daxing Airport</t>
  </si>
  <si>
    <t>Beijing - Beijing Daxing Airport</t>
  </si>
  <si>
    <t>China, Bengbu</t>
  </si>
  <si>
    <t>Beijing South - Bengbu South</t>
  </si>
  <si>
    <t>Beijing - Bengbu</t>
  </si>
  <si>
    <t>Beijing - Bengbu South</t>
  </si>
  <si>
    <t>China, Boluo</t>
  </si>
  <si>
    <t>Beijing - Boluo</t>
  </si>
  <si>
    <t>China, Danzhou</t>
  </si>
  <si>
    <t>Beijing - Danzhou</t>
  </si>
  <si>
    <t>China, Daqing</t>
  </si>
  <si>
    <t>Beijing - Daqing</t>
  </si>
  <si>
    <t>Beijing - Daqing East</t>
  </si>
  <si>
    <t>China, Daxing</t>
  </si>
  <si>
    <t>Beijing - Daxing</t>
  </si>
  <si>
    <t>China, Dongcheng South</t>
  </si>
  <si>
    <t>Beijing - Dongcheng South</t>
  </si>
  <si>
    <t>China, Dongguan</t>
  </si>
  <si>
    <t>Beijing West - Dongguan</t>
  </si>
  <si>
    <t>China, Dongsheng</t>
  </si>
  <si>
    <t>Beijing West - Dongsheng West</t>
  </si>
  <si>
    <t>Beijing - Dongsheng</t>
  </si>
  <si>
    <t>Beijing - Guzhang</t>
  </si>
  <si>
    <t>Beijing Fengtai - Xingtai</t>
  </si>
  <si>
    <t>Beijing West - Xingtai</t>
  </si>
  <si>
    <t>Beijing - Xingtai</t>
  </si>
  <si>
    <t>China, Hengqin Island</t>
  </si>
  <si>
    <t>Beijing - Hengqin Island</t>
  </si>
  <si>
    <t>China, Heshan</t>
  </si>
  <si>
    <t>Beijing - Heshan</t>
  </si>
  <si>
    <t>China, Hong Kong Island</t>
  </si>
  <si>
    <t>Beijing - Hong Kong Island</t>
  </si>
  <si>
    <t>China, Huade</t>
  </si>
  <si>
    <t>Beijing - Huade</t>
  </si>
  <si>
    <t>China, Huadu</t>
  </si>
  <si>
    <t>Beijing - Huadu</t>
  </si>
  <si>
    <t>China, Huairen County</t>
  </si>
  <si>
    <t>Beijing - Huairen County</t>
  </si>
  <si>
    <t>China, Huaxi</t>
  </si>
  <si>
    <t>Beijing Fengtai - Guangzhoubaiyun</t>
  </si>
  <si>
    <t>Beijing West - Guangzhoubaiyun</t>
  </si>
  <si>
    <t>Beijing - Huaxi</t>
  </si>
  <si>
    <t>China, Humen Town</t>
  </si>
  <si>
    <t>Beijing West - Humen</t>
  </si>
  <si>
    <t>Beijing - Humen Town</t>
  </si>
  <si>
    <t>China, Jiangbei</t>
  </si>
  <si>
    <t>Beijing - Jiangbei</t>
  </si>
  <si>
    <t>China, Jiangjin</t>
  </si>
  <si>
    <t>Beijing - Jiangjin</t>
  </si>
  <si>
    <t>China, Jiangning</t>
  </si>
  <si>
    <t>Beijing - Jiangning</t>
  </si>
  <si>
    <t>China, Jiangxia</t>
  </si>
  <si>
    <t>Beijing - Jiangxia</t>
  </si>
  <si>
    <t>China, Jiangyuan</t>
  </si>
  <si>
    <t>Beijing - Jiangyuan</t>
  </si>
  <si>
    <t>Beijing - Jiangzhou</t>
  </si>
  <si>
    <t>China, Jiaozhou</t>
  </si>
  <si>
    <t>Beijing South - Qingdao Airport</t>
  </si>
  <si>
    <t>Beijing - Jiaozhou</t>
  </si>
  <si>
    <t>China, Jiaozhou city</t>
  </si>
  <si>
    <t>Beijing - Jiaozhou City</t>
  </si>
  <si>
    <t>China, Jiaxiang</t>
  </si>
  <si>
    <t>Beijing - Jiaxiang</t>
  </si>
  <si>
    <t>China, Jingmen</t>
  </si>
  <si>
    <t>Beijing West - Jingmen</t>
  </si>
  <si>
    <t>Beijing - Jingmen</t>
  </si>
  <si>
    <t>China, Jinjiang</t>
  </si>
  <si>
    <t>Beijing South - Quanzhounan</t>
  </si>
  <si>
    <t>Beijing - Jinjiang</t>
  </si>
  <si>
    <t>China, Liaoyuan</t>
  </si>
  <si>
    <t>Beijing - Liaoyuan</t>
  </si>
  <si>
    <t>China, Lingshi County</t>
  </si>
  <si>
    <t>Beijing - Lingshi County</t>
  </si>
  <si>
    <t>China, Lingwu</t>
  </si>
  <si>
    <t>Beijing West - Ningdong</t>
  </si>
  <si>
    <t>Beijing - Lingwu</t>
  </si>
  <si>
    <t>China, Longan</t>
  </si>
  <si>
    <t>Beijing - Longan</t>
  </si>
  <si>
    <t>China, Luliang</t>
  </si>
  <si>
    <t>Beijing - Luliang</t>
  </si>
  <si>
    <t>China, Maoming</t>
  </si>
  <si>
    <t>Beijing West - Maoming</t>
  </si>
  <si>
    <t>Beijing - Maoming</t>
  </si>
  <si>
    <t>China, Miluo</t>
  </si>
  <si>
    <t>Beijing - Miluo</t>
  </si>
  <si>
    <t>China, Mingxi</t>
  </si>
  <si>
    <t>Beijing - Mingxi</t>
  </si>
  <si>
    <t>China, Nanchong</t>
  </si>
  <si>
    <t>Beijing West - Nanchong</t>
  </si>
  <si>
    <t>Beijing - Nanchong</t>
  </si>
  <si>
    <t>China, Neijiang</t>
  </si>
  <si>
    <t>Beijing Fengtai - Neijiang North</t>
  </si>
  <si>
    <t>Beijing West - Neijiang North</t>
  </si>
  <si>
    <t>Beijing - Neijiang</t>
  </si>
  <si>
    <t>China, Qi County</t>
  </si>
  <si>
    <t>Beijing - Qi County</t>
  </si>
  <si>
    <t>Beijing - Qinghai</t>
  </si>
  <si>
    <t>Beijing - Saihan</t>
  </si>
  <si>
    <t>China, Shangrao</t>
  </si>
  <si>
    <t>Beijing South - Dexing</t>
  </si>
  <si>
    <t>China, Shaoguan</t>
  </si>
  <si>
    <t>Beijing West - Shaoguan East</t>
  </si>
  <si>
    <t>Beijing - Shaoguan</t>
  </si>
  <si>
    <t>Beijing - Shuangliu</t>
  </si>
  <si>
    <t>China, Sihui</t>
  </si>
  <si>
    <t>Beijing - Sihui</t>
  </si>
  <si>
    <t>China, Taiyuan</t>
  </si>
  <si>
    <t>Beijing North - Yangqu West</t>
  </si>
  <si>
    <t>Beijing - Tianxin</t>
  </si>
  <si>
    <t>China, Turpan</t>
  </si>
  <si>
    <t>Beijing West - Turpan North</t>
  </si>
  <si>
    <t>Beijing - Turpan</t>
  </si>
  <si>
    <t>Beijing - Wenjiang</t>
  </si>
  <si>
    <t>China, Wuwei Gansu</t>
  </si>
  <si>
    <t>Beijing South - Wuwei</t>
  </si>
  <si>
    <t>Beijing - Wuwei</t>
  </si>
  <si>
    <t>Beijing - Wuwei Gansu</t>
  </si>
  <si>
    <t>Beijing - Xigu</t>
  </si>
  <si>
    <t>China, Xihu</t>
  </si>
  <si>
    <t>Beijing - Xihu</t>
  </si>
  <si>
    <t>Beijing - Xinyi</t>
  </si>
  <si>
    <t>Beijing - Xishui</t>
  </si>
  <si>
    <t>China, Xuanzhou</t>
  </si>
  <si>
    <t>Beijing - Xuanzhou</t>
  </si>
  <si>
    <t>Beijing - Xunxian</t>
  </si>
  <si>
    <t>Beijing - Xuzhou East</t>
  </si>
  <si>
    <t>China, Yangchun</t>
  </si>
  <si>
    <t>Beijing - Yangchun</t>
  </si>
  <si>
    <t>China, Yijiang</t>
  </si>
  <si>
    <t>Beijing - Yijiang</t>
  </si>
  <si>
    <t>China, Zhongwei</t>
  </si>
  <si>
    <t>Beijing West - Zhongwei</t>
  </si>
  <si>
    <t>Beijing - Zhongwei</t>
  </si>
  <si>
    <t>China, Zhuzhou</t>
  </si>
  <si>
    <t>Beijing West - Zhuzhou</t>
  </si>
  <si>
    <t>Beijing - Zhuzhou</t>
  </si>
  <si>
    <t>Russia, Blagoveshchensk</t>
  </si>
  <si>
    <t>Beijing - Blagoveshchensk</t>
  </si>
  <si>
    <t>China, Tangshan</t>
  </si>
  <si>
    <t>Beijing Daxing Airport - Tangshan</t>
  </si>
  <si>
    <t>Binhai North - Baoding East</t>
  </si>
  <si>
    <t>Binhai West - Baoding East</t>
  </si>
  <si>
    <t>Binhai - Baoding</t>
  </si>
  <si>
    <t>Tanggu - Baoding</t>
  </si>
  <si>
    <t>Binhai West - Bengbu South</t>
  </si>
  <si>
    <t>Binhai - Bengbu</t>
  </si>
  <si>
    <t>China, Changchun</t>
  </si>
  <si>
    <t>Binhai North - Changchun West</t>
  </si>
  <si>
    <t>Binhai West - Changchun West</t>
  </si>
  <si>
    <t>Binhai - Changchun</t>
  </si>
  <si>
    <t>Tanggu - Changchun</t>
  </si>
  <si>
    <t>China, Changsha</t>
  </si>
  <si>
    <t>Binhai West - Changsha South</t>
  </si>
  <si>
    <t>Binhai - Changsha</t>
  </si>
  <si>
    <t>Binhai North - Daqing East</t>
  </si>
  <si>
    <t>Binhai West - Daqing East</t>
  </si>
  <si>
    <t>Binhai - Daqing</t>
  </si>
  <si>
    <t>China, Handan</t>
  </si>
  <si>
    <t>Binhai North - Handan East</t>
  </si>
  <si>
    <t>Binhai West - Handan East</t>
  </si>
  <si>
    <t>Binhai - Handan</t>
  </si>
  <si>
    <t>China, Hangzhou</t>
  </si>
  <si>
    <t>Binhai West - Hangzhou West</t>
  </si>
  <si>
    <t>Binhai - Heshan</t>
  </si>
  <si>
    <t>China, Heze</t>
  </si>
  <si>
    <t>Binhai West - Heze East Railway Station</t>
  </si>
  <si>
    <t>Binhai - Heze</t>
  </si>
  <si>
    <t>Binhai - Hunan</t>
  </si>
  <si>
    <t>Binhai - Jiangning</t>
  </si>
  <si>
    <t>China, Jiangsu</t>
  </si>
  <si>
    <t>Binhai - Jiangsu</t>
  </si>
  <si>
    <t>Binhai - Jiaocheng</t>
  </si>
  <si>
    <t>China, Jinhua</t>
  </si>
  <si>
    <t>Binhai West - Jinhua South</t>
  </si>
  <si>
    <t>Binhai - Jinhua</t>
  </si>
  <si>
    <t>China, Nanjing</t>
  </si>
  <si>
    <t>Binhai West - Nanjing South</t>
  </si>
  <si>
    <t>Binhai - Nanjing</t>
  </si>
  <si>
    <t>China, Qiqihar</t>
  </si>
  <si>
    <t>Binhai North - Qiqihar South</t>
  </si>
  <si>
    <t>Binhai West - Qiqihar South</t>
  </si>
  <si>
    <t>Binhai - Qiqihar</t>
  </si>
  <si>
    <t>Tanggu - Qiqihar</t>
  </si>
  <si>
    <t>Binhai - Shaanxi</t>
  </si>
  <si>
    <t>Binhai West - Shanghai Hongqiao</t>
  </si>
  <si>
    <t>Binhai - Shanghai</t>
  </si>
  <si>
    <t>China, Shanhaiguan</t>
  </si>
  <si>
    <t>Binhai North - Shanhaiguan</t>
  </si>
  <si>
    <t>Binhai West - Shanhaiguan</t>
  </si>
  <si>
    <t>Binhai - Shanhaiguan</t>
  </si>
  <si>
    <t>Tanggu - Shanhaiguan</t>
  </si>
  <si>
    <t>Binhai North - Tangshan</t>
  </si>
  <si>
    <t>Binhai West - Tangshan</t>
  </si>
  <si>
    <t>Binhai - Tangshan</t>
  </si>
  <si>
    <t>Tanggu - Tangshan</t>
  </si>
  <si>
    <t>Binhai - Tianxin</t>
  </si>
  <si>
    <t>China, Weifang</t>
  </si>
  <si>
    <t>Binhai - Weifang</t>
  </si>
  <si>
    <t>Tanggu - Weifang</t>
  </si>
  <si>
    <t>China, Wenzhou</t>
  </si>
  <si>
    <t>Binhai West - Wenzhou South</t>
  </si>
  <si>
    <t>Binhai - Wenzhou</t>
  </si>
  <si>
    <t>China, Wuhan</t>
  </si>
  <si>
    <t>Binhai West - Wuhan</t>
  </si>
  <si>
    <t>China, Wuxi Jiangsu</t>
  </si>
  <si>
    <t>Binhai West - Wuxi East</t>
  </si>
  <si>
    <t>Binhai - Wuxi Jiangsu</t>
  </si>
  <si>
    <t>China, Xian</t>
  </si>
  <si>
    <t>Binhai North - Xian North</t>
  </si>
  <si>
    <t>Binhai West - Xian North</t>
  </si>
  <si>
    <t>Binhai - Xian</t>
  </si>
  <si>
    <t>Binhai - Xihu</t>
  </si>
  <si>
    <t>China, Xinyang</t>
  </si>
  <si>
    <t>Binhai North - Xinyang East</t>
  </si>
  <si>
    <t>Binhai - Xinyang</t>
  </si>
  <si>
    <t>China, Xuchang</t>
  </si>
  <si>
    <t>Binhai North - Xuchang East</t>
  </si>
  <si>
    <t>Binhai - Xuchang</t>
  </si>
  <si>
    <t>Binhai - Xunxian</t>
  </si>
  <si>
    <t>Binhai West - Xuzhou East</t>
  </si>
  <si>
    <t>Binhai - Xuzhou</t>
  </si>
  <si>
    <t>Binhai - Yijiang</t>
  </si>
  <si>
    <t>China, Yiwu</t>
  </si>
  <si>
    <t>Binhai West - Yiwu</t>
  </si>
  <si>
    <t>Binhai - Yiwu</t>
  </si>
  <si>
    <t>China, Yueyang</t>
  </si>
  <si>
    <t>Binhai West - Yueyang East</t>
  </si>
  <si>
    <t>Binhai - Yueyang</t>
  </si>
  <si>
    <t>China, Cangzhou</t>
  </si>
  <si>
    <t>China, Tianjin</t>
  </si>
  <si>
    <t>Cangzhou West - Tianjin South</t>
  </si>
  <si>
    <t>Changchun West - Binhai North</t>
  </si>
  <si>
    <t>Changchun - Binhai</t>
  </si>
  <si>
    <t>Changchun - Tanggu</t>
  </si>
  <si>
    <t>China, Changyi</t>
  </si>
  <si>
    <t>Changchun - Changyi</t>
  </si>
  <si>
    <t>Changchun - Shuangji</t>
  </si>
  <si>
    <t>China, Changzhou</t>
  </si>
  <si>
    <t>Changchun West - Changzhou North</t>
  </si>
  <si>
    <t>Changchun - Changzhou North</t>
  </si>
  <si>
    <t>Changchun - Changzhou</t>
  </si>
  <si>
    <t>China, Chaoyang Liaoning</t>
  </si>
  <si>
    <t>Changchun West - Beipiao</t>
  </si>
  <si>
    <t>Changchun West - Liaoning Chaoyang</t>
  </si>
  <si>
    <t>Changchun - Beipiao</t>
  </si>
  <si>
    <t>Changchun - Chaoyang Liaoning</t>
  </si>
  <si>
    <t>Changchun - Liaoning Chaoyang</t>
  </si>
  <si>
    <t>China, Chengdu</t>
  </si>
  <si>
    <t>Changchun West - Chengdexian North</t>
  </si>
  <si>
    <t>Changchun West - Daqing East</t>
  </si>
  <si>
    <t>Changchun - Daqing</t>
  </si>
  <si>
    <t>Changchun - Daqing East</t>
  </si>
  <si>
    <t>China, Dezhou</t>
  </si>
  <si>
    <t>Changchun West - Dezhou East</t>
  </si>
  <si>
    <t>Changchun - Dezhou</t>
  </si>
  <si>
    <t>China, Ganzhou</t>
  </si>
  <si>
    <t>Changchun - Ganzhou</t>
  </si>
  <si>
    <t>China, Guangxi</t>
  </si>
  <si>
    <t>Changchun - Guangxi</t>
  </si>
  <si>
    <t>China, Guilin</t>
  </si>
  <si>
    <t>Changchun - Guilin</t>
  </si>
  <si>
    <t>China, Hainan</t>
  </si>
  <si>
    <t>Changchun - Hainan</t>
  </si>
  <si>
    <t>Changchun - Hebei</t>
  </si>
  <si>
    <t>China, Heihe</t>
  </si>
  <si>
    <t>Changchun - Heihe</t>
  </si>
  <si>
    <t>China, Hohhot</t>
  </si>
  <si>
    <t>Changchun - Hohhot East</t>
  </si>
  <si>
    <t>Changchun - Huadu</t>
  </si>
  <si>
    <t>Changchun - Guangzhoubaiyun</t>
  </si>
  <si>
    <t>Changchun - Huaxi</t>
  </si>
  <si>
    <t>China, Huludao</t>
  </si>
  <si>
    <t>Changchun West - Huludao North</t>
  </si>
  <si>
    <t>Changchun - Huludao</t>
  </si>
  <si>
    <t>Changchun - Huludao North</t>
  </si>
  <si>
    <t>Changchun - Jiangning</t>
  </si>
  <si>
    <t>Changchun - Jiangxi</t>
  </si>
  <si>
    <t>Changchun - Jiaocheng</t>
  </si>
  <si>
    <t>Changchun - Liaoyuan</t>
  </si>
  <si>
    <t>Changchun - Mingxi</t>
  </si>
  <si>
    <t>China, Nanchang</t>
  </si>
  <si>
    <t>Changchun - Nanchang</t>
  </si>
  <si>
    <t>Changchun - Qinghai</t>
  </si>
  <si>
    <t>Changchun - Shaanxi</t>
  </si>
  <si>
    <t>China, Shijiazhuang</t>
  </si>
  <si>
    <t>Changchun West - Shijiazhuang</t>
  </si>
  <si>
    <t>Changchun - Shijiazhuang</t>
  </si>
  <si>
    <t>Changchun - Shijiazhuang North</t>
  </si>
  <si>
    <t>Changchun - Sichuan</t>
  </si>
  <si>
    <t>China, Taian</t>
  </si>
  <si>
    <t>Changchun - Taian</t>
  </si>
  <si>
    <t>Changchun West - Tangshan</t>
  </si>
  <si>
    <t>Changchun - Tangshan</t>
  </si>
  <si>
    <t>Changchun - Tangshan North</t>
  </si>
  <si>
    <t>Changchun - Tianxin</t>
  </si>
  <si>
    <t>Changchun - Xunxian</t>
  </si>
  <si>
    <t>Changchun West - Xuzhou East</t>
  </si>
  <si>
    <t>Changchun - Xuzhou</t>
  </si>
  <si>
    <t>Changchun - Xuzhou East</t>
  </si>
  <si>
    <t>China, Yabuli</t>
  </si>
  <si>
    <t>Changchun - Yabuli</t>
  </si>
  <si>
    <t>China, Yancheng</t>
  </si>
  <si>
    <t>Changchun - Yancheng</t>
  </si>
  <si>
    <t>China, Yantai</t>
  </si>
  <si>
    <t>Changchun - Yantai</t>
  </si>
  <si>
    <t>China, Yichun Heilongjiang</t>
  </si>
  <si>
    <t>Changchun - Yichun Heilongjiang</t>
  </si>
  <si>
    <t>Changchun - Yijiang</t>
  </si>
  <si>
    <t>Changchun - Blagoveshchensk</t>
  </si>
  <si>
    <t>China, Changde</t>
  </si>
  <si>
    <t>Changde - Bafangshan</t>
  </si>
  <si>
    <t>China, Enshi</t>
  </si>
  <si>
    <t>Changde - Enshi</t>
  </si>
  <si>
    <t>Changde - Laifeng</t>
  </si>
  <si>
    <t>Changde - Guangzhoubaiyun</t>
  </si>
  <si>
    <t>Changde - Huaxi</t>
  </si>
  <si>
    <t>Changde - Hunan</t>
  </si>
  <si>
    <t>China, Kaifu</t>
  </si>
  <si>
    <t>Changde - Kaifu</t>
  </si>
  <si>
    <t>Changde - Kaifusi</t>
  </si>
  <si>
    <t>China, Pujiangzhen</t>
  </si>
  <si>
    <t>Changde - Pujiangzhen</t>
  </si>
  <si>
    <t>Changde - Shuangliu</t>
  </si>
  <si>
    <t>China, Songjiang Shanghai</t>
  </si>
  <si>
    <t>Changde - Songjiang North</t>
  </si>
  <si>
    <t>Changde - Songjiang Shanghai</t>
  </si>
  <si>
    <t>Changde - Tianxin</t>
  </si>
  <si>
    <t>Changde - Wenjiang</t>
  </si>
  <si>
    <t>China, Yuelu</t>
  </si>
  <si>
    <t>Changde - Guanshaling</t>
  </si>
  <si>
    <t>Changde - Yuelu</t>
  </si>
  <si>
    <t>China, Changping Beijing</t>
  </si>
  <si>
    <t>China, Gubeikou</t>
  </si>
  <si>
    <t>Changping Beijing - Gubeikou</t>
  </si>
  <si>
    <t>Changping North - Gubeikou</t>
  </si>
  <si>
    <t>China, Anshun</t>
  </si>
  <si>
    <t>Changsha South - Guanling</t>
  </si>
  <si>
    <t>Changsha South - Bengbu South</t>
  </si>
  <si>
    <t>Changsha - Bengbu</t>
  </si>
  <si>
    <t>Changsha South - Binhai West</t>
  </si>
  <si>
    <t>Changsha - Binhai</t>
  </si>
  <si>
    <t>Changsha - Boluo</t>
  </si>
  <si>
    <t>Changsha - Dongcheng South</t>
  </si>
  <si>
    <t>China, Duanzhou</t>
  </si>
  <si>
    <t>Changsha - Duanzhou</t>
  </si>
  <si>
    <t>Changsha - Guzhang</t>
  </si>
  <si>
    <t>Changsha South - Handan East</t>
  </si>
  <si>
    <t>Changsha - Handan</t>
  </si>
  <si>
    <t>China, Hedong</t>
  </si>
  <si>
    <t>Changsha South - Furongzhen</t>
  </si>
  <si>
    <t>Changsha - Furongzhen</t>
  </si>
  <si>
    <t>Changsha - Hedong</t>
  </si>
  <si>
    <t>Changsha - Hengqin Island</t>
  </si>
  <si>
    <t>Changsha - Hong Kong Island</t>
  </si>
  <si>
    <t>China, Huashan</t>
  </si>
  <si>
    <t>Changsha South - Huashan North</t>
  </si>
  <si>
    <t>Changsha - Huashan</t>
  </si>
  <si>
    <t>Changsha South - Guangzhoubaiyun</t>
  </si>
  <si>
    <t>Changsha - Guangzhoubaiyun</t>
  </si>
  <si>
    <t>Changsha - Huaxi</t>
  </si>
  <si>
    <t>China, Huidong</t>
  </si>
  <si>
    <t>Changsha South - Huidong South</t>
  </si>
  <si>
    <t>Changsha - Huidong</t>
  </si>
  <si>
    <t>China, Huiyang District</t>
  </si>
  <si>
    <t>Changsha South - Huiyang</t>
  </si>
  <si>
    <t>Changsha - Huiyang District</t>
  </si>
  <si>
    <t>Changsha South - Humen</t>
  </si>
  <si>
    <t>Changsha - Humen Town</t>
  </si>
  <si>
    <t>Changsha - Jiangbei</t>
  </si>
  <si>
    <t>Changsha - Jiangjin</t>
  </si>
  <si>
    <t>Changsha - Jiangning</t>
  </si>
  <si>
    <t>Changsha - Jiangxia</t>
  </si>
  <si>
    <t>Changsha - Jiangyuan</t>
  </si>
  <si>
    <t>Changsha - Jiangzhou</t>
  </si>
  <si>
    <t>Changsha - Jiaocheng</t>
  </si>
  <si>
    <t>Changsha - Jiaxiang</t>
  </si>
  <si>
    <t>Changsha South - Quanzhounan</t>
  </si>
  <si>
    <t>Changsha - Jinjiang</t>
  </si>
  <si>
    <t>Changsha South - Kaifusi</t>
  </si>
  <si>
    <t>Changsha - Kaifu</t>
  </si>
  <si>
    <t>Changsha - Kaifusi</t>
  </si>
  <si>
    <t>China, Leshan</t>
  </si>
  <si>
    <t>Changsha South - Leshan</t>
  </si>
  <si>
    <t>Changsha - Leshan</t>
  </si>
  <si>
    <t>China, Liupanshui</t>
  </si>
  <si>
    <t>Changsha South - Liupanshui</t>
  </si>
  <si>
    <t>Changsha South - Liupanshuidong</t>
  </si>
  <si>
    <t>Changsha - Liupanshui</t>
  </si>
  <si>
    <t>Changsha - Mingxi</t>
  </si>
  <si>
    <t>China, Ordos</t>
  </si>
  <si>
    <t>Changsha - Ordos</t>
  </si>
  <si>
    <t>Changsha - Ordos City</t>
  </si>
  <si>
    <t>China, Pingyao</t>
  </si>
  <si>
    <t>Changsha - Pingyao</t>
  </si>
  <si>
    <t>Changsha - Pujiangzhen</t>
  </si>
  <si>
    <t>Changsha - Qinghai</t>
  </si>
  <si>
    <t>Changsha - Saihan</t>
  </si>
  <si>
    <t>Changsha - Shuangliu</t>
  </si>
  <si>
    <t>Changsha - Sihui</t>
  </si>
  <si>
    <t>Changsha South - Shanghai Songjiang</t>
  </si>
  <si>
    <t>Changsha - Songjiang North</t>
  </si>
  <si>
    <t>Changsha - Songjiang Shanghai</t>
  </si>
  <si>
    <t>Changsha - Taian</t>
  </si>
  <si>
    <t>China, Taian Shandong</t>
  </si>
  <si>
    <t>Changsha South - Taian Shandong</t>
  </si>
  <si>
    <t>Changsha - Taian Shandong</t>
  </si>
  <si>
    <t>Changsha - Taishan Shandong</t>
  </si>
  <si>
    <t>Changsha - Dongjing</t>
  </si>
  <si>
    <t>Changsha - Muyun</t>
  </si>
  <si>
    <t>Changsha - Tianxin</t>
  </si>
  <si>
    <t>Changsha - Tianxin East</t>
  </si>
  <si>
    <t>Changsha - Wenjiang</t>
  </si>
  <si>
    <t>China, Xiangtan</t>
  </si>
  <si>
    <t>Changsha South - Xiangtan North</t>
  </si>
  <si>
    <t>Changsha - Bantang</t>
  </si>
  <si>
    <t>Changsha - Xiangtan</t>
  </si>
  <si>
    <t>Changsha - Xiangtan North</t>
  </si>
  <si>
    <t>Changsha - Xigu</t>
  </si>
  <si>
    <t>Changsha - Xihu</t>
  </si>
  <si>
    <t>Changsha - Xishui</t>
  </si>
  <si>
    <t>Changsha - Xuanzhou</t>
  </si>
  <si>
    <t>Changsha - Xunxian</t>
  </si>
  <si>
    <t>Changsha - Yangchun</t>
  </si>
  <si>
    <t>China, Zengcheng</t>
  </si>
  <si>
    <t>Changsha South - Xintang</t>
  </si>
  <si>
    <t>Changsha South - Zengcheng</t>
  </si>
  <si>
    <t>Changsha - Zengcheng</t>
  </si>
  <si>
    <t>China, Zhejiang</t>
  </si>
  <si>
    <t>Changsha South - Yuyao North</t>
  </si>
  <si>
    <t>Changsha - Hetang</t>
  </si>
  <si>
    <t>Changzhou North - Anyang East</t>
  </si>
  <si>
    <t>Changzhou - Anyang</t>
  </si>
  <si>
    <t>China, Baotou</t>
  </si>
  <si>
    <t>Changzhou - Baotou</t>
  </si>
  <si>
    <t>Changzhou - Baotou East</t>
  </si>
  <si>
    <t>Changzhou - Guangxi</t>
  </si>
  <si>
    <t>Changzhou - Guzhang</t>
  </si>
  <si>
    <t>Changzhou - Harbin East</t>
  </si>
  <si>
    <t>Changzhou - Heilongjiang</t>
  </si>
  <si>
    <t>China, Henan</t>
  </si>
  <si>
    <t>Changzhou - Henan</t>
  </si>
  <si>
    <t>Changzhou - Huade</t>
  </si>
  <si>
    <t>China, Huainan</t>
  </si>
  <si>
    <t>Changzhou North - Huainan South</t>
  </si>
  <si>
    <t>Changzhou North - Shouxian</t>
  </si>
  <si>
    <t>Changzhou - Huainan</t>
  </si>
  <si>
    <t>Changzhou - Huainan South</t>
  </si>
  <si>
    <t>Changzhou - Guangzhoubaiyun</t>
  </si>
  <si>
    <t>Changzhou - Huaxi</t>
  </si>
  <si>
    <t>Changzhou - Hunan</t>
  </si>
  <si>
    <t>China, Inner Mongolia</t>
  </si>
  <si>
    <t>Changzhou - Inner Mongolia</t>
  </si>
  <si>
    <t>Changzhou - Jiangning</t>
  </si>
  <si>
    <t>Changzhou - Jiangning West</t>
  </si>
  <si>
    <t>Changzhou - Jiangxi</t>
  </si>
  <si>
    <t>Changzhou - Jiangzhou</t>
  </si>
  <si>
    <t>Changzhou - Jiaxiang</t>
  </si>
  <si>
    <t>China, Jiujiang</t>
  </si>
  <si>
    <t>Changzhou - Jiujiang</t>
  </si>
  <si>
    <t>Changzhou North - Kaifeng North</t>
  </si>
  <si>
    <t>Changzhou - Kaifeng</t>
  </si>
  <si>
    <t>Changzhou - Kaifeng North</t>
  </si>
  <si>
    <t>Changzhou - Mingxi</t>
  </si>
  <si>
    <t>China, Shangqiu</t>
  </si>
  <si>
    <t>Changzhou North - Shangqiu</t>
  </si>
  <si>
    <t>Changzhou - Shangqiu</t>
  </si>
  <si>
    <t>Changzhou - Shuangliu</t>
  </si>
  <si>
    <t>Changzhou - Sihui</t>
  </si>
  <si>
    <t>Changzhou North - Shanghai Songjiang</t>
  </si>
  <si>
    <t>Changzhou - Shanghai Songjiang</t>
  </si>
  <si>
    <t>Changzhou - Songjiang North</t>
  </si>
  <si>
    <t>Changzhou - Songjiang Shanghai</t>
  </si>
  <si>
    <t>Changzhou North - Taian Shandong</t>
  </si>
  <si>
    <t>Changzhou - Taian Shandong</t>
  </si>
  <si>
    <t>Changzhou - Taishan Shandong</t>
  </si>
  <si>
    <t>Changzhou - Tianxin</t>
  </si>
  <si>
    <t>Changzhou - Wenjiang</t>
  </si>
  <si>
    <t>Changzhou - Xihu</t>
  </si>
  <si>
    <t>Changzhou - Xishui</t>
  </si>
  <si>
    <t>Changzhou North - Xuchang North</t>
  </si>
  <si>
    <t>Changzhou - Xuchang</t>
  </si>
  <si>
    <t>Changzhou - Xunxian</t>
  </si>
  <si>
    <t>Changzhou - Yuncheng</t>
  </si>
  <si>
    <t>Changzhou North - Zhengzhou Hangkonggang</t>
  </si>
  <si>
    <t>China, Chaohu</t>
  </si>
  <si>
    <t>China, Anhui</t>
  </si>
  <si>
    <t>Chaohu - Anhui</t>
  </si>
  <si>
    <t>China, Hefei</t>
  </si>
  <si>
    <t>Chaohu - Hefei</t>
  </si>
  <si>
    <t>China, Chengde</t>
  </si>
  <si>
    <t>Chaoyang Liaoning - Chengde</t>
  </si>
  <si>
    <t>Liaoning Chaoyang - Chengde South</t>
  </si>
  <si>
    <t>China, Chifeng</t>
  </si>
  <si>
    <t>Chaoyang Liaoning - Chifeng</t>
  </si>
  <si>
    <t>Liaoning Chaoyang - Chifeng</t>
  </si>
  <si>
    <t>China, Fuxin</t>
  </si>
  <si>
    <t>Chaoyang Liaoning - Fuxin</t>
  </si>
  <si>
    <t>Liaoning Chaoyang - Fuxin</t>
  </si>
  <si>
    <t>China, Jinzhou</t>
  </si>
  <si>
    <t>Chaoyang Liaoning - Jinzhou</t>
  </si>
  <si>
    <t>Liaoning Chaoyang - Jinzhou North</t>
  </si>
  <si>
    <t>Chengde South - Baoding East</t>
  </si>
  <si>
    <t>Chengde - Baoding</t>
  </si>
  <si>
    <t>Chengde South - Changchun</t>
  </si>
  <si>
    <t>Chengde South - Changchun West</t>
  </si>
  <si>
    <t>Chengde - Changchun</t>
  </si>
  <si>
    <t>Chengde South - Beipiao</t>
  </si>
  <si>
    <t>Chengde South - Liaoning Chaoyang</t>
  </si>
  <si>
    <t>Chengde - Chaoyang Liaoning</t>
  </si>
  <si>
    <t>Chengde South - Fuxin</t>
  </si>
  <si>
    <t>Chengde - Fuxin</t>
  </si>
  <si>
    <t>China, Liaoning</t>
  </si>
  <si>
    <t>Chengde - Liaoning</t>
  </si>
  <si>
    <t>Chengde South - Shenyang</t>
  </si>
  <si>
    <t>Chengde South - Shenyang North</t>
  </si>
  <si>
    <t>Chengde South - Shenyang South</t>
  </si>
  <si>
    <t>Chengde - Shenyang</t>
  </si>
  <si>
    <t>China, Tongliao</t>
  </si>
  <si>
    <t>Chengde South - Tongliao</t>
  </si>
  <si>
    <t>Chengde - Tongliao</t>
  </si>
  <si>
    <t>Chengdu East - Guanling</t>
  </si>
  <si>
    <t>Chengdu East - Baoding East</t>
  </si>
  <si>
    <t>Chengdu West - Baoding</t>
  </si>
  <si>
    <t>Chengdu East - Bengbu South</t>
  </si>
  <si>
    <t>Chengdu West - Bengbu</t>
  </si>
  <si>
    <t>Chengdu - Bengbu</t>
  </si>
  <si>
    <t>Chengdu - Boluo</t>
  </si>
  <si>
    <t>China, Dazu Chongqing</t>
  </si>
  <si>
    <t>Chengdu East - Dazu South</t>
  </si>
  <si>
    <t>Chengdu East - Rongchang North</t>
  </si>
  <si>
    <t>Chengdu South - Rongchang North</t>
  </si>
  <si>
    <t>Chengdu - Dazu Chongqing</t>
  </si>
  <si>
    <t>Chengdu - Dongcheng South</t>
  </si>
  <si>
    <t>China, Dujiangyan</t>
  </si>
  <si>
    <t>Chengdu East - Maoxian</t>
  </si>
  <si>
    <t>China, Funing</t>
  </si>
  <si>
    <t>Chengdu - Funing</t>
  </si>
  <si>
    <t>Chengdu East - Congjiang</t>
  </si>
  <si>
    <t>Chengdu - Guzhang</t>
  </si>
  <si>
    <t>China, Hanzhong</t>
  </si>
  <si>
    <t>Chengdu South - Hanzhong</t>
  </si>
  <si>
    <t>Chengdu - Hengqin Island</t>
  </si>
  <si>
    <t>Chengdu East - Heze East Railway Station</t>
  </si>
  <si>
    <t>Chengdu - Heze</t>
  </si>
  <si>
    <t>Chengdu - Hong Kong Island</t>
  </si>
  <si>
    <t>Chengdu - Huade</t>
  </si>
  <si>
    <t>China, Huaian</t>
  </si>
  <si>
    <t>Chengdu East - Huaian East</t>
  </si>
  <si>
    <t>Chengdu - Huaian</t>
  </si>
  <si>
    <t>Chengdu East - Guangzhoubaiyun</t>
  </si>
  <si>
    <t>Chengdu - Huaxi</t>
  </si>
  <si>
    <t>Chengdu East - Humen</t>
  </si>
  <si>
    <t>Chengdu - Humen Town</t>
  </si>
  <si>
    <t>Chengdu - Jiangbei</t>
  </si>
  <si>
    <t>Chengdu - Jiangjin</t>
  </si>
  <si>
    <t>Chengdu - Jiangning</t>
  </si>
  <si>
    <t>Chengdu - Jiangxia</t>
  </si>
  <si>
    <t>Chengdu - Jiangyuan</t>
  </si>
  <si>
    <t>Chengdu - Jiangzhou</t>
  </si>
  <si>
    <t>Chengdu - Jiaocheng</t>
  </si>
  <si>
    <t>Chengdu East - Jiangbei Airport</t>
  </si>
  <si>
    <t>Chengdu South - Jiangbei Airport</t>
  </si>
  <si>
    <t>Chengdu - Jiaxiang</t>
  </si>
  <si>
    <t>China, Jiaxing</t>
  </si>
  <si>
    <t>Chengdu East - Jiaxing South</t>
  </si>
  <si>
    <t>Chengdu West - Jiaxing</t>
  </si>
  <si>
    <t>Chengdu - Jiaxing</t>
  </si>
  <si>
    <t>Chengdu East - Qianwei</t>
  </si>
  <si>
    <t>Chengdu South - Qianwei</t>
  </si>
  <si>
    <t>Chengdu South - Liupanshuidong</t>
  </si>
  <si>
    <t>Chengdu East - Maoming</t>
  </si>
  <si>
    <t>Chengdu - Mingxi</t>
  </si>
  <si>
    <t>Chengdu - Pujiangzhen</t>
  </si>
  <si>
    <t>Chengdu - Qinghai</t>
  </si>
  <si>
    <t>China, Qinhuangdao</t>
  </si>
  <si>
    <t>Chengdu East - Qinhuangdao</t>
  </si>
  <si>
    <t>Chengdu West - Qinhuangdao</t>
  </si>
  <si>
    <t>Chengdu - Qinhuangdao</t>
  </si>
  <si>
    <t>Chengdu West - Qiqihar</t>
  </si>
  <si>
    <t>Chengdu - Qiqihar</t>
  </si>
  <si>
    <t>China, Quzhou</t>
  </si>
  <si>
    <t>Chengdu East - Quzhou</t>
  </si>
  <si>
    <t>Chengdu West - Quzhou</t>
  </si>
  <si>
    <t>Chengdu - Quzhou</t>
  </si>
  <si>
    <t>China, Ruichang</t>
  </si>
  <si>
    <t>Chengdu East - Shapingba</t>
  </si>
  <si>
    <t>Chengdu South - Shapingba</t>
  </si>
  <si>
    <t>Chengdu - Ruichang</t>
  </si>
  <si>
    <t>Chengdu - Saihan</t>
  </si>
  <si>
    <t>China, Shizhong</t>
  </si>
  <si>
    <t>Chengdu East - Neijiang East</t>
  </si>
  <si>
    <t>Chengdu South - Neijiang East</t>
  </si>
  <si>
    <t>Chengdu - Shizhong</t>
  </si>
  <si>
    <t>Chengdu - Shuangliu</t>
  </si>
  <si>
    <t>Chengdu East - Longdongbao</t>
  </si>
  <si>
    <t>Chengdu West - Songjiang North</t>
  </si>
  <si>
    <t>Chengdu - Songjiang Shanghai</t>
  </si>
  <si>
    <t>Chengdu - Taian</t>
  </si>
  <si>
    <t>Chengdu - Tianxin</t>
  </si>
  <si>
    <t>Chengdu West - Turpan North</t>
  </si>
  <si>
    <t>Chengdu - Turpan</t>
  </si>
  <si>
    <t>China, Wuming</t>
  </si>
  <si>
    <t>Chengdu East - Nanning North</t>
  </si>
  <si>
    <t>Chengdu - Wuming</t>
  </si>
  <si>
    <t>Chengdu - Xihu</t>
  </si>
  <si>
    <t>Chengdu - Xinyi</t>
  </si>
  <si>
    <t>Chengdu - Xishui</t>
  </si>
  <si>
    <t>Chengdu - Yangchun</t>
  </si>
  <si>
    <t>China, Yichun Jiangxi</t>
  </si>
  <si>
    <t>Chengdu East - Yichun Jiangxi</t>
  </si>
  <si>
    <t>Chengdu - Yichun Jiangxi</t>
  </si>
  <si>
    <t>Chengdu East - Zhengzhou Hangkonggang</t>
  </si>
  <si>
    <t>Chengdu West - Zhongwei</t>
  </si>
  <si>
    <t>Chengdu - Zhongwei</t>
  </si>
  <si>
    <t>China, Chengdu Airport</t>
  </si>
  <si>
    <t>China, Guangyuan</t>
  </si>
  <si>
    <t>Chengdu Airport - Guangyuan</t>
  </si>
  <si>
    <t>Shuangliu Airport - Jianmenguan</t>
  </si>
  <si>
    <t>Shuangliu Airport - Qingchuan</t>
  </si>
  <si>
    <t>Chengdu Airport - Guzhang</t>
  </si>
  <si>
    <t>Chengdu Airport - Hanzhong</t>
  </si>
  <si>
    <t>Chengdu Airport - Jiaxiang</t>
  </si>
  <si>
    <t>Shuangliu Airport - Jiangbei Airport</t>
  </si>
  <si>
    <t>China, Longchang</t>
  </si>
  <si>
    <t>Chengdu Airport - Longchang</t>
  </si>
  <si>
    <t>Shuangliu Airport - Longchang North</t>
  </si>
  <si>
    <t>China, Quanzhou</t>
  </si>
  <si>
    <t>Chengdu Airport - Quanzhou</t>
  </si>
  <si>
    <t>Shuangliu Airport - Qingyang</t>
  </si>
  <si>
    <t>Chengdu Airport - Saihan</t>
  </si>
  <si>
    <t>Chengdu Airport - Shuangliu</t>
  </si>
  <si>
    <t>Chengdu Airport - Xishui</t>
  </si>
  <si>
    <t>China, Chengyang</t>
  </si>
  <si>
    <t>Chengyang - Beijing</t>
  </si>
  <si>
    <t>Chengyang - Beijing South</t>
  </si>
  <si>
    <t>Chengyang - Changzhou</t>
  </si>
  <si>
    <t>Chengyang - Dezhou</t>
  </si>
  <si>
    <t>Chengyang - Dezhou East</t>
  </si>
  <si>
    <t>China, Gaocheng</t>
  </si>
  <si>
    <t>Chengyang - Gaocheng</t>
  </si>
  <si>
    <t>Chengyang - Gaocheng South</t>
  </si>
  <si>
    <t>Chengyang - Hebei</t>
  </si>
  <si>
    <t>China, Hengshui</t>
  </si>
  <si>
    <t>Chengyang - Hengshui</t>
  </si>
  <si>
    <t>Chengyang - Hengshui North</t>
  </si>
  <si>
    <t>Chengyang - Heshan</t>
  </si>
  <si>
    <t>China, Jinan</t>
  </si>
  <si>
    <t>Chengyang - Jinan</t>
  </si>
  <si>
    <t>Chengyang - Jinan East</t>
  </si>
  <si>
    <t>China, Laixi</t>
  </si>
  <si>
    <t>Chengyang - Laixi</t>
  </si>
  <si>
    <t>Chengyang - Xiagezhuang</t>
  </si>
  <si>
    <t>China, Lianyungang</t>
  </si>
  <si>
    <t>Chengyang - Guannan</t>
  </si>
  <si>
    <t>Chengyang - Lianyungang</t>
  </si>
  <si>
    <t>China, Rizhao</t>
  </si>
  <si>
    <t>Chengyang - Rizhao</t>
  </si>
  <si>
    <t>Chengyang - Rizhao West</t>
  </si>
  <si>
    <t>China, Shandong</t>
  </si>
  <si>
    <t>Chengyang - Shandong</t>
  </si>
  <si>
    <t>Chengyang - Shanghai</t>
  </si>
  <si>
    <t>Chengyang - Shijiazhuang</t>
  </si>
  <si>
    <t>China, Suzhou</t>
  </si>
  <si>
    <t>Chengyang - Suzhou</t>
  </si>
  <si>
    <t>Chengyang - Taian Shandong</t>
  </si>
  <si>
    <t>Chengyang - Tianjin</t>
  </si>
  <si>
    <t>Chengyang - Tianjin South</t>
  </si>
  <si>
    <t>Chengyang - Weifang</t>
  </si>
  <si>
    <t>Chengyang - Weifang North</t>
  </si>
  <si>
    <t>China, Weihai</t>
  </si>
  <si>
    <t>Chengyang - Weihai</t>
  </si>
  <si>
    <t>China, Wendeng</t>
  </si>
  <si>
    <t>Chengyang - Weihai Nanhai</t>
  </si>
  <si>
    <t>Chengyang - Wendeng</t>
  </si>
  <si>
    <t>Chengyang - Wuxi</t>
  </si>
  <si>
    <t>Chengyang - Yantai</t>
  </si>
  <si>
    <t>Chengyang - Yantai South</t>
  </si>
  <si>
    <t>China, Zibo</t>
  </si>
  <si>
    <t>Chengyang - Zibo</t>
  </si>
  <si>
    <t>China, Chenzhou</t>
  </si>
  <si>
    <t>Chenzhou - Boluo</t>
  </si>
  <si>
    <t>Chenzhou - Changchun</t>
  </si>
  <si>
    <t>Chenzhou - Dongcheng South</t>
  </si>
  <si>
    <t>Chenzhou - Dongguan</t>
  </si>
  <si>
    <t>Chenzhou - Dongguan East</t>
  </si>
  <si>
    <t>Chenzhou - Gansu</t>
  </si>
  <si>
    <t>Chenzhou West - Hangzhou West</t>
  </si>
  <si>
    <t>Chenzhou - Henan</t>
  </si>
  <si>
    <t>Chenzhou - Hengqin Island</t>
  </si>
  <si>
    <t>Chenzhou West - Guangzhoubaiyun</t>
  </si>
  <si>
    <t>Chenzhou - Guangzhoubaiyun</t>
  </si>
  <si>
    <t>Chenzhou - Huaxi</t>
  </si>
  <si>
    <t>Chenzhou - Hubei</t>
  </si>
  <si>
    <t>Chenzhou West - Huiyang</t>
  </si>
  <si>
    <t>Chenzhou - Huiyang District</t>
  </si>
  <si>
    <t>Chenzhou West - Humen</t>
  </si>
  <si>
    <t>Chenzhou - Humen Town</t>
  </si>
  <si>
    <t>China, Jian Jiangxi</t>
  </si>
  <si>
    <t>Chenzhou - Jian Jiangxi</t>
  </si>
  <si>
    <t>Chenzhou - Jiangbei</t>
  </si>
  <si>
    <t>Chenzhou - Jiangjin</t>
  </si>
  <si>
    <t>Chenzhou - Jiangxi</t>
  </si>
  <si>
    <t>Chenzhou - Jiangxia</t>
  </si>
  <si>
    <t>Chenzhou - Jiangyuan</t>
  </si>
  <si>
    <t>Chenzhou - Jiangzhou</t>
  </si>
  <si>
    <t>Chenzhou - Jiaocheng</t>
  </si>
  <si>
    <t>Chenzhou West - Lanzhou West</t>
  </si>
  <si>
    <t>Chenzhou - Lanzhou</t>
  </si>
  <si>
    <t>Chenzhou - Liaoning</t>
  </si>
  <si>
    <t>China, Macau</t>
  </si>
  <si>
    <t>Chenzhou - Macau</t>
  </si>
  <si>
    <t>Chenzhou West - Nanchang West</t>
  </si>
  <si>
    <t>Chenzhou - Nanchang</t>
  </si>
  <si>
    <t>Chenzhou - Saihan</t>
  </si>
  <si>
    <t>Chenzhou - Shaanxi</t>
  </si>
  <si>
    <t>China, Shaoshan</t>
  </si>
  <si>
    <t>Chenzhou West - Shaoshan South</t>
  </si>
  <si>
    <t>Chenzhou - Shaoshan</t>
  </si>
  <si>
    <t>China, Shaoyang</t>
  </si>
  <si>
    <t>Chenzhou West - Shaoyang</t>
  </si>
  <si>
    <t>Chenzhou - Shaoyang</t>
  </si>
  <si>
    <t>Chenzhou - Shenyang</t>
  </si>
  <si>
    <t>Chenzhou - Shenyang North</t>
  </si>
  <si>
    <t>Chenzhou - Tianxin</t>
  </si>
  <si>
    <t>Chenzhou West - Xian North</t>
  </si>
  <si>
    <t>Chenzhou - Xian</t>
  </si>
  <si>
    <t>Chenzhou - Xigu</t>
  </si>
  <si>
    <t>Chenzhou - Xihu</t>
  </si>
  <si>
    <t>Chenzhou - Yangchun</t>
  </si>
  <si>
    <t>Chenzhou West - Xintang</t>
  </si>
  <si>
    <t>Chenzhou West - Zengcheng</t>
  </si>
  <si>
    <t>Chenzhou - Zengcheng</t>
  </si>
  <si>
    <t>China, Zhangjiajie</t>
  </si>
  <si>
    <t>Chenzhou West - Zhangjiajie West</t>
  </si>
  <si>
    <t>Chenzhou - Zhangjiajie</t>
  </si>
  <si>
    <t>Chenzhou - Zhangjiajie West</t>
  </si>
  <si>
    <t>Chenzhou - Zhejiang</t>
  </si>
  <si>
    <t>Chifeng - Huade</t>
  </si>
  <si>
    <t>Chifeng - Taian</t>
  </si>
  <si>
    <t>China, Chongqing</t>
  </si>
  <si>
    <t>Chongqing West - Congjiang</t>
  </si>
  <si>
    <t>China, Chuzhou</t>
  </si>
  <si>
    <t>Chuzhou - Jiangning</t>
  </si>
  <si>
    <t>Chuzhou - Jiangxi</t>
  </si>
  <si>
    <t>Chuzhou North - Nanchang</t>
  </si>
  <si>
    <t>Chuzhou - Nanchang</t>
  </si>
  <si>
    <t>Chuzhou - Nanchang West</t>
  </si>
  <si>
    <t>China, Dali</t>
  </si>
  <si>
    <t>China, Lincang</t>
  </si>
  <si>
    <t>Dali Yunnan - Lincang</t>
  </si>
  <si>
    <t>Dali - Lincang</t>
  </si>
  <si>
    <t>China, Shangri La</t>
  </si>
  <si>
    <t>Dali Yunnan - Xiaozhongdian</t>
  </si>
  <si>
    <t>China, Dandong</t>
  </si>
  <si>
    <t>Dandong - Tangshan</t>
  </si>
  <si>
    <t>Dandong - Tianjin</t>
  </si>
  <si>
    <t>Dandong - Tianjin West</t>
  </si>
  <si>
    <t>Daqing East - Shenyang</t>
  </si>
  <si>
    <t>Daqing East - Shenyang North</t>
  </si>
  <si>
    <t>Daqing East - Shenyang South</t>
  </si>
  <si>
    <t>Daqing - Shenyang</t>
  </si>
  <si>
    <t>Daqing - Shenyang North</t>
  </si>
  <si>
    <t>Dongcheng South - Changsha</t>
  </si>
  <si>
    <t>Dongcheng South - Chengdu</t>
  </si>
  <si>
    <t>Dongcheng South - Chenzhou</t>
  </si>
  <si>
    <t>Dongcheng South - Chongqing</t>
  </si>
  <si>
    <t>China, Fujian</t>
  </si>
  <si>
    <t>Dongcheng South - Fujian</t>
  </si>
  <si>
    <t>China, Fuzhou</t>
  </si>
  <si>
    <t>Dongcheng South - Fuzhou</t>
  </si>
  <si>
    <t>China, Guangdong</t>
  </si>
  <si>
    <t>Dongcheng South - Guangdong</t>
  </si>
  <si>
    <t>China, Guangzhou</t>
  </si>
  <si>
    <t>Dongcheng South - Guangzhou</t>
  </si>
  <si>
    <t>Dongcheng South - Henan</t>
  </si>
  <si>
    <t>China, Hengyang</t>
  </si>
  <si>
    <t>Dongcheng South - Hengyang</t>
  </si>
  <si>
    <t>Dongcheng South - Hong Kong Island</t>
  </si>
  <si>
    <t>China, Hong Kong West Kowloon</t>
  </si>
  <si>
    <t>Dongcheng South - Hong Kong West Kowloon</t>
  </si>
  <si>
    <t>China, Huaihua</t>
  </si>
  <si>
    <t>Dongcheng South - Huaihua</t>
  </si>
  <si>
    <t>Dongcheng South - Huaxi</t>
  </si>
  <si>
    <t>Dongcheng South - Hubei</t>
  </si>
  <si>
    <t>Dongcheng South - Huidong</t>
  </si>
  <si>
    <t>Dongcheng South - Huiyang District</t>
  </si>
  <si>
    <t>Dongcheng South - Hunan</t>
  </si>
  <si>
    <t>Dongcheng South - Jiangzhou</t>
  </si>
  <si>
    <t>Dongcheng South - Jiaocheng</t>
  </si>
  <si>
    <t>Dongcheng South - Jiaxiang</t>
  </si>
  <si>
    <t>China, Longyan</t>
  </si>
  <si>
    <t>Dongcheng South - Longyan</t>
  </si>
  <si>
    <t>China, Luoyang</t>
  </si>
  <si>
    <t>Dongcheng South - Luoyang</t>
  </si>
  <si>
    <t>Dongcheng South - Nanchang</t>
  </si>
  <si>
    <t>Dongcheng South - Nanyang</t>
  </si>
  <si>
    <t>China, Puning</t>
  </si>
  <si>
    <t>Dongcheng South - Puning</t>
  </si>
  <si>
    <t>Dongcheng South - Quanzhou</t>
  </si>
  <si>
    <t>Dongcheng South - Shaanxi</t>
  </si>
  <si>
    <t>Dongcheng South - Shaoguan</t>
  </si>
  <si>
    <t>China, Shenzhen</t>
  </si>
  <si>
    <t>Dongcheng South - Shenzhen</t>
  </si>
  <si>
    <t>Dongcheng South - Shuangliu</t>
  </si>
  <si>
    <t>Dongcheng South - Taiyuan</t>
  </si>
  <si>
    <t>Dongcheng South - Tianxin</t>
  </si>
  <si>
    <t>Dongcheng South - Wenjiang</t>
  </si>
  <si>
    <t>Dongcheng South - Wenzhou</t>
  </si>
  <si>
    <t>Dongcheng South - Wuhan</t>
  </si>
  <si>
    <t>China, Xiamen</t>
  </si>
  <si>
    <t>Dongcheng South - Xiamen</t>
  </si>
  <si>
    <t>Dongcheng South - Xian</t>
  </si>
  <si>
    <t>China, Xiangyang</t>
  </si>
  <si>
    <t>Dongcheng South - Xiangyang</t>
  </si>
  <si>
    <t>Dongcheng South - Zengcheng</t>
  </si>
  <si>
    <t>Dongcheng South - Zhengzhou</t>
  </si>
  <si>
    <t>Hong Kong, Hong Kong</t>
  </si>
  <si>
    <t>Dongcheng South - Hong Kong</t>
  </si>
  <si>
    <t>Hong Kong, Kowloon</t>
  </si>
  <si>
    <t>Dongcheng South - Kowloon</t>
  </si>
  <si>
    <t>Dongguan East - Ankang</t>
  </si>
  <si>
    <t>Dongguan - Ankang</t>
  </si>
  <si>
    <t>Dongguan - Beijing West</t>
  </si>
  <si>
    <t>Dongguan East - Changzhou</t>
  </si>
  <si>
    <t>Dongguan - Changzhou</t>
  </si>
  <si>
    <t>Dongguan - Chengdu West</t>
  </si>
  <si>
    <t>Dongguan - Chongqing North</t>
  </si>
  <si>
    <t>China, Fuyang Anhui</t>
  </si>
  <si>
    <t>Dongguan East - Fuyang</t>
  </si>
  <si>
    <t>Dongguan - Fuyang Anhui</t>
  </si>
  <si>
    <t>Dongguan East - Hanzhong</t>
  </si>
  <si>
    <t>Dongguan - Hanzhong</t>
  </si>
  <si>
    <t>Dongguan East - Hefei</t>
  </si>
  <si>
    <t>Dongguan - Hefei</t>
  </si>
  <si>
    <t>Dongguan - Heilongjiang</t>
  </si>
  <si>
    <t>China, Heyuan</t>
  </si>
  <si>
    <t>Dongguan East - Heyuan</t>
  </si>
  <si>
    <t>Dongguan - Heyuan</t>
  </si>
  <si>
    <t>Dongguan East - Heze</t>
  </si>
  <si>
    <t>Dongguan - Heze</t>
  </si>
  <si>
    <t>Dongguan - Hong Kong Island</t>
  </si>
  <si>
    <t>Dongguan South - Hong Kong West Kowloon</t>
  </si>
  <si>
    <t>Dongguan - Huaihua</t>
  </si>
  <si>
    <t>Dongguan East - Guangzhoubaiyun</t>
  </si>
  <si>
    <t>Dongguan - Guangzhoubaiyun</t>
  </si>
  <si>
    <t>Dongguan - Huaxi</t>
  </si>
  <si>
    <t>Dongguan - Huidong</t>
  </si>
  <si>
    <t>Dongguan - Huidong South</t>
  </si>
  <si>
    <t>Dongguan - Huiyang</t>
  </si>
  <si>
    <t>Dongguan - Huiyang District</t>
  </si>
  <si>
    <t>Dongguan - Hunan</t>
  </si>
  <si>
    <t>Dongguan - Jiangbei</t>
  </si>
  <si>
    <t>Dongguan - Jiangjin</t>
  </si>
  <si>
    <t>Dongguan - Jiangxia</t>
  </si>
  <si>
    <t>Dongguan - Jiangyuan</t>
  </si>
  <si>
    <t>Dongguan - Jiangzhou</t>
  </si>
  <si>
    <t>Dongguan - Jiaocheng</t>
  </si>
  <si>
    <t>Dongguan - Jiaxiang</t>
  </si>
  <si>
    <t>Dongguan East - Daminghu</t>
  </si>
  <si>
    <t>Dongguan East - Jinan</t>
  </si>
  <si>
    <t>Dongguan - Jinan</t>
  </si>
  <si>
    <t>Dongguan East - Jingmen</t>
  </si>
  <si>
    <t>Dongguan - Jingmen</t>
  </si>
  <si>
    <t>Dongguan East - Jiujiang</t>
  </si>
  <si>
    <t>Dongguan - Jiujiang</t>
  </si>
  <si>
    <t>Dongguan - Longyan</t>
  </si>
  <si>
    <t>Dongguan East - Nanjing</t>
  </si>
  <si>
    <t>Dongguan - Nanjing</t>
  </si>
  <si>
    <t>China, Nantong</t>
  </si>
  <si>
    <t>Dongguan East - Nantong</t>
  </si>
  <si>
    <t>Dongguan - Nantong</t>
  </si>
  <si>
    <t>Dongguan - Pujiangzhen</t>
  </si>
  <si>
    <t>Dongguan - Puning</t>
  </si>
  <si>
    <t>China, Qingdao</t>
  </si>
  <si>
    <t>Dongguan East - Qingdao North</t>
  </si>
  <si>
    <t>Dongguan - Qingdao</t>
  </si>
  <si>
    <t>Dongguan - Shaanxi</t>
  </si>
  <si>
    <t>Dongguan East - Shijiazhuang North</t>
  </si>
  <si>
    <t>Dongguan - Shijiazhuang</t>
  </si>
  <si>
    <t>Dongguan - Shuangliu</t>
  </si>
  <si>
    <t>Dongguan East - Taiyuan Shanxi</t>
  </si>
  <si>
    <t>Dongguan - Taiyuan</t>
  </si>
  <si>
    <t>Dongguan - Taiyuan Shanxi</t>
  </si>
  <si>
    <t>Dongguan - Tianjin</t>
  </si>
  <si>
    <t>Dongguan - Tianxin</t>
  </si>
  <si>
    <t>Dongguan - Wenjiang</t>
  </si>
  <si>
    <t>Dongguan - Wenzhou</t>
  </si>
  <si>
    <t>Dongguan - Wenzhou South</t>
  </si>
  <si>
    <t>Dongguan South - Xiamen</t>
  </si>
  <si>
    <t>Dongguan South - Xiamen North</t>
  </si>
  <si>
    <t>Dongguan East - Xiangyang</t>
  </si>
  <si>
    <t>Dongguan - Xiangyang</t>
  </si>
  <si>
    <t>Dongguan East - Xinyang</t>
  </si>
  <si>
    <t>Dongguan - Xinyang</t>
  </si>
  <si>
    <t>Dongguan - Xunxian</t>
  </si>
  <si>
    <t>Dongguan East - Yueyang</t>
  </si>
  <si>
    <t>Dongguan - Yueyang</t>
  </si>
  <si>
    <t>Dongguan - Xintang</t>
  </si>
  <si>
    <t>Dongguan - Zengcheng</t>
  </si>
  <si>
    <t>Dongguan East - Zhangjiajie West</t>
  </si>
  <si>
    <t>Dongguan - Zhangjiajie</t>
  </si>
  <si>
    <t>Dongsheng West - Baotou</t>
  </si>
  <si>
    <t>Dongsheng West - Baotou East</t>
  </si>
  <si>
    <t>Dongsheng - Baotou</t>
  </si>
  <si>
    <t>Dongsheng West - Beijing West</t>
  </si>
  <si>
    <t>Dongsheng - Beijing</t>
  </si>
  <si>
    <t>Dongsheng - Hebei</t>
  </si>
  <si>
    <t>Dongsheng West - Hohhot</t>
  </si>
  <si>
    <t>Dongsheng West - Hohhot East</t>
  </si>
  <si>
    <t>Dongsheng - Hohhot</t>
  </si>
  <si>
    <t>Dongsheng - Huade</t>
  </si>
  <si>
    <t>Dongsheng - Inner Mongolia</t>
  </si>
  <si>
    <t>Dongsheng - Shaanxi</t>
  </si>
  <si>
    <t>Dongsheng West - Shijiazhuang North</t>
  </si>
  <si>
    <t>Dongsheng - Shijiazhuang</t>
  </si>
  <si>
    <t>Dongsheng - Taian</t>
  </si>
  <si>
    <t>Dongsheng West - Xian</t>
  </si>
  <si>
    <t>Dongsheng West - Xian South</t>
  </si>
  <si>
    <t>Dongsheng - Xian</t>
  </si>
  <si>
    <t>Dongsheng West - Yanan</t>
  </si>
  <si>
    <t>Dongsheng - Yanan</t>
  </si>
  <si>
    <t>China, Yulin Shaanxi</t>
  </si>
  <si>
    <t>Dongsheng West - Yulin Shaanxi</t>
  </si>
  <si>
    <t>Dongsheng - Yulin Shaanxi</t>
  </si>
  <si>
    <t>China, Duan Yao</t>
  </si>
  <si>
    <t>Duan Yao - Chengdu</t>
  </si>
  <si>
    <t>Duan Yao - Chengdu Airport</t>
  </si>
  <si>
    <t>China, Foshan</t>
  </si>
  <si>
    <t>Duan Yao - Foshan</t>
  </si>
  <si>
    <t>Duan Yao - Guangdong</t>
  </si>
  <si>
    <t>Duan Yao - Guangxi</t>
  </si>
  <si>
    <t>Duan Yao - Guangzhou</t>
  </si>
  <si>
    <t>Duan Yao - Hengqin Island</t>
  </si>
  <si>
    <t>Duan Yao - Hong Kong Island</t>
  </si>
  <si>
    <t>Duan Yao - Hong Kong West Kowloon</t>
  </si>
  <si>
    <t>China, Kunming</t>
  </si>
  <si>
    <t>Duan Yao - Kunming</t>
  </si>
  <si>
    <t>Duan Yao - Macau</t>
  </si>
  <si>
    <t>Duan Yao - Maoming</t>
  </si>
  <si>
    <t>Duan Yao - Mingxi</t>
  </si>
  <si>
    <t>China, Nanning</t>
  </si>
  <si>
    <t>Duan Yao - Nanning</t>
  </si>
  <si>
    <t>Duan Yao - Saihan</t>
  </si>
  <si>
    <t>Duan Yao - Shenzhen</t>
  </si>
  <si>
    <t>Duan Yao - Shuangliu</t>
  </si>
  <si>
    <t>Duan Yao - Yangchun</t>
  </si>
  <si>
    <t>China, Yunnan</t>
  </si>
  <si>
    <t>Duan Yao - Yunnan</t>
  </si>
  <si>
    <t>China, Zhuhai</t>
  </si>
  <si>
    <t>Duan Yao - Zhuhai</t>
  </si>
  <si>
    <t>Duan Yao - Hong Kong</t>
  </si>
  <si>
    <t>Duan Yao - Kowloon</t>
  </si>
  <si>
    <t>Duanzhou - Changsha</t>
  </si>
  <si>
    <t>Duanzhou - Guangdong</t>
  </si>
  <si>
    <t>Duanzhou - Guangxi</t>
  </si>
  <si>
    <t>Duanzhou - Guangzhou</t>
  </si>
  <si>
    <t>Duanzhou - Huaxi</t>
  </si>
  <si>
    <t>Duanzhou - Hunan</t>
  </si>
  <si>
    <t>Duanzhou - Kunming</t>
  </si>
  <si>
    <t>Duanzhou - Maoming</t>
  </si>
  <si>
    <t>Duanzhou - Mingxi</t>
  </si>
  <si>
    <t>Duanzhou - Nanning</t>
  </si>
  <si>
    <t>Duanzhou - Shaoguan</t>
  </si>
  <si>
    <t>Duanzhou - Shenzhen</t>
  </si>
  <si>
    <t>Duanzhou - Tianxin</t>
  </si>
  <si>
    <t>China, Yulin Guangxi</t>
  </si>
  <si>
    <t>Duanzhou - Yulin Guangxi</t>
  </si>
  <si>
    <t>Duanzhou - Yunnan</t>
  </si>
  <si>
    <t>China, Enping</t>
  </si>
  <si>
    <t>Enping - Shenzhen</t>
  </si>
  <si>
    <t>Enping - Shenzhen North</t>
  </si>
  <si>
    <t>China, Erenhot</t>
  </si>
  <si>
    <t>Erenhot - Baotou</t>
  </si>
  <si>
    <t>Erenhot - Danzhou</t>
  </si>
  <si>
    <t>Erenhot - Salaqi</t>
  </si>
  <si>
    <t>Erenhot - Huade</t>
  </si>
  <si>
    <t>China, Ergun Zuoqi</t>
  </si>
  <si>
    <t>China, Yakeshi</t>
  </si>
  <si>
    <t>Ergun Zuoqi - Yakeshi</t>
  </si>
  <si>
    <t>Genhe - Yakeshi</t>
  </si>
  <si>
    <t>China, Fenghuang</t>
  </si>
  <si>
    <t>Fenghuang - Changsha</t>
  </si>
  <si>
    <t>Fenghuanggucheng - Changsha South</t>
  </si>
  <si>
    <t>Foshan West - Congjiang</t>
  </si>
  <si>
    <t>China, Zhongshan</t>
  </si>
  <si>
    <t>Foshan West - Zhongshan West</t>
  </si>
  <si>
    <t>Zhangpu - Shenzhen North</t>
  </si>
  <si>
    <t>Fuxin South - Huludao</t>
  </si>
  <si>
    <t>Fuxin - Huludao</t>
  </si>
  <si>
    <t>China, Jingdezhen</t>
  </si>
  <si>
    <t>Fuyang Anhui - Jingdezhen</t>
  </si>
  <si>
    <t>Fuyang West - Jingdezhen North</t>
  </si>
  <si>
    <t>Fuzhou South - Changle East</t>
  </si>
  <si>
    <t>Gansu - Baoding</t>
  </si>
  <si>
    <t>Gansu - Changzhou</t>
  </si>
  <si>
    <t>China, Datong</t>
  </si>
  <si>
    <t>Gansu - Datong</t>
  </si>
  <si>
    <t>Gansu - Guangyuan</t>
  </si>
  <si>
    <t>Gansu - Guzhang</t>
  </si>
  <si>
    <t>China, Haidong</t>
  </si>
  <si>
    <t>Gansu - Haidong</t>
  </si>
  <si>
    <t>Gansu - Harbin</t>
  </si>
  <si>
    <t>Gansu - Hebei</t>
  </si>
  <si>
    <t>Gansu - Heilongjiang</t>
  </si>
  <si>
    <t>Gansu - Huaxi</t>
  </si>
  <si>
    <t>Gansu - Jiangning</t>
  </si>
  <si>
    <t>Gansu - Jiangsu</t>
  </si>
  <si>
    <t>Gansu - Jiangxi</t>
  </si>
  <si>
    <t>Gansu - Jiangzhou</t>
  </si>
  <si>
    <t>Gansu - Jiaocheng</t>
  </si>
  <si>
    <t>Gansu - Jinan</t>
  </si>
  <si>
    <t>China, Jinta</t>
  </si>
  <si>
    <t>Gansu - Jinta</t>
  </si>
  <si>
    <t>Gansu - Liaoning</t>
  </si>
  <si>
    <t>Gansu - Luoyang</t>
  </si>
  <si>
    <t>China, Mianyang</t>
  </si>
  <si>
    <t>Gansu - Mianyang</t>
  </si>
  <si>
    <t>Gansu - Nanchang</t>
  </si>
  <si>
    <t>China, Ningbo</t>
  </si>
  <si>
    <t>Gansu - Ningbo</t>
  </si>
  <si>
    <t>China, Pingliang</t>
  </si>
  <si>
    <t>Gansu - Pingliang</t>
  </si>
  <si>
    <t>Gansu - Qingdao</t>
  </si>
  <si>
    <t>Gansu - Qinghai</t>
  </si>
  <si>
    <t>Gansu - Saihan</t>
  </si>
  <si>
    <t>Gansu - Shandong</t>
  </si>
  <si>
    <t>Gansu - Shangqiu</t>
  </si>
  <si>
    <t>Gansu - Shenyang</t>
  </si>
  <si>
    <t>Gansu - Shijiazhuang</t>
  </si>
  <si>
    <t>Gansu - Shuangliu</t>
  </si>
  <si>
    <t>Gansu - Suzhou</t>
  </si>
  <si>
    <t>Gansu - Taian</t>
  </si>
  <si>
    <t>Gansu - Taian Shandong</t>
  </si>
  <si>
    <t>China, Taizhou Jiangsu</t>
  </si>
  <si>
    <t>Gansu - Taizhou Jiangsu</t>
  </si>
  <si>
    <t>Gansu - Tianxin</t>
  </si>
  <si>
    <t>China, Wanzhi</t>
  </si>
  <si>
    <t>Gansu - Wanzhi</t>
  </si>
  <si>
    <t>Gansu - Weihai</t>
  </si>
  <si>
    <t>China, Weinan</t>
  </si>
  <si>
    <t>Gansu - Weinan</t>
  </si>
  <si>
    <t>Gansu - Wenjiang</t>
  </si>
  <si>
    <t>Gansu - Wuwei Gansu</t>
  </si>
  <si>
    <t>Gansu - Wuxi Jiangsu</t>
  </si>
  <si>
    <t>Gansu - Xiamen</t>
  </si>
  <si>
    <t>Gansu - Xihu</t>
  </si>
  <si>
    <t>China, Xinxiang</t>
  </si>
  <si>
    <t>Gansu - Xinxiang</t>
  </si>
  <si>
    <t>Gansu - Xinyi</t>
  </si>
  <si>
    <t>Gansu - Xishui</t>
  </si>
  <si>
    <t>Gansu - Xuchang</t>
  </si>
  <si>
    <t>Gansu - Xunxian</t>
  </si>
  <si>
    <t>Gansu - Xuzhou</t>
  </si>
  <si>
    <t>Gansu - Zhongwei</t>
  </si>
  <si>
    <t>Ganzhou - Changchun</t>
  </si>
  <si>
    <t>Ganzhou - Gansu</t>
  </si>
  <si>
    <t>Ganzhou - Guizhou</t>
  </si>
  <si>
    <t>Ganzhou - Guzhang</t>
  </si>
  <si>
    <t>Ganzhou - Heilongjiang</t>
  </si>
  <si>
    <t>Ganzhou - Henan</t>
  </si>
  <si>
    <t>Ganzhou - Guangzhoubaiyun</t>
  </si>
  <si>
    <t>Ganzhou - Huaxi</t>
  </si>
  <si>
    <t>Ganzhou - Jiangbei</t>
  </si>
  <si>
    <t>Ganzhou - Jiangjin</t>
  </si>
  <si>
    <t>Ganzhou - Jiangning</t>
  </si>
  <si>
    <t>Ganzhou - Jiangxia</t>
  </si>
  <si>
    <t>Ganzhou - Jiangyuan</t>
  </si>
  <si>
    <t>Ganzhou - Jiangzhou</t>
  </si>
  <si>
    <t>China, Jining</t>
  </si>
  <si>
    <t>Ganzhou - Jining</t>
  </si>
  <si>
    <t>Ganzhou - Lanzhou</t>
  </si>
  <si>
    <t>Ganzhou - Lanzhou West</t>
  </si>
  <si>
    <t>Ganzhou - Pujiangzhen</t>
  </si>
  <si>
    <t>Ganzhou - Qingdao</t>
  </si>
  <si>
    <t>Ganzhou - Qingdao North</t>
  </si>
  <si>
    <t>Ganzhou - Quanzhou</t>
  </si>
  <si>
    <t>Ganzhou - Shaanxi</t>
  </si>
  <si>
    <t>Ganzhou - Shenyang</t>
  </si>
  <si>
    <t>Ganzhou - Shenyang North</t>
  </si>
  <si>
    <t>Ganzhou - Sihui</t>
  </si>
  <si>
    <t>China, Wuhu</t>
  </si>
  <si>
    <t>Ganzhou - Wuhu</t>
  </si>
  <si>
    <t>Ganzhou - Xigu</t>
  </si>
  <si>
    <t>Ganzhou - Xihu</t>
  </si>
  <si>
    <t>Ganzhou - Xishui</t>
  </si>
  <si>
    <t>Ganzhou - Xunxian</t>
  </si>
  <si>
    <t>Ganzhou - Yichun Jiangxi</t>
  </si>
  <si>
    <t>Ganzhou - Zhengzhou</t>
  </si>
  <si>
    <t>Ganzhou - Zhuzhou</t>
  </si>
  <si>
    <t>Tangjiawan - Guangzhou South</t>
  </si>
  <si>
    <t>Guangxi - Baoding</t>
  </si>
  <si>
    <t>Guangyuan - Xuzhou</t>
  </si>
  <si>
    <t>Guangyuan - Xuzhou East</t>
  </si>
  <si>
    <t>China, Chaonan</t>
  </si>
  <si>
    <t>Guangzhou East - Chaonan</t>
  </si>
  <si>
    <t>Guangzhou - Chaonan</t>
  </si>
  <si>
    <t>Guangzhou South - Fenghuanggucheng</t>
  </si>
  <si>
    <t>Guangzhou - Fenghuang</t>
  </si>
  <si>
    <t>Guangzhou - Fenghuanggucheng</t>
  </si>
  <si>
    <t>Guangzhou South - Congjiang</t>
  </si>
  <si>
    <t>Guangzhou South - Zhuhai Changlong</t>
  </si>
  <si>
    <t>China, Jianghai</t>
  </si>
  <si>
    <t>Guangzhou South - Jianghai</t>
  </si>
  <si>
    <t>Guangzhou - Jianghai</t>
  </si>
  <si>
    <t>Guangzhou East - Quanzhou East</t>
  </si>
  <si>
    <t>China, Chuxiong</t>
  </si>
  <si>
    <t>Guilin North - Chuxiong</t>
  </si>
  <si>
    <t>Guilin - Chuxiong</t>
  </si>
  <si>
    <t>China, Duyun</t>
  </si>
  <si>
    <t>Guilin North - Duyun East</t>
  </si>
  <si>
    <t>Guilin West - Duyun East</t>
  </si>
  <si>
    <t>Guilin - Duyun</t>
  </si>
  <si>
    <t>Guilin North - Furongzhen</t>
  </si>
  <si>
    <t>Guilin - Furongzhen</t>
  </si>
  <si>
    <t>Guilin - Hedong</t>
  </si>
  <si>
    <t>Guilin North - Humen</t>
  </si>
  <si>
    <t>Guilin - Humen Town</t>
  </si>
  <si>
    <t>Guilin North - Shangqiu South</t>
  </si>
  <si>
    <t>Guilin - Shangqiu</t>
  </si>
  <si>
    <t>China, Guiyang</t>
  </si>
  <si>
    <t>Guiyang North - Anyang East</t>
  </si>
  <si>
    <t>Guiyang - Anyang</t>
  </si>
  <si>
    <t>China, Bijie</t>
  </si>
  <si>
    <t>Guiyang East - Bijie</t>
  </si>
  <si>
    <t>Guiyang North - Bijie</t>
  </si>
  <si>
    <t>Guiyang - Bijie</t>
  </si>
  <si>
    <t>Guiyang North - Wujin</t>
  </si>
  <si>
    <t>Guiyang North - Wuhu</t>
  </si>
  <si>
    <t>Guiyang - Wuhu</t>
  </si>
  <si>
    <t>China, Xianning</t>
  </si>
  <si>
    <t>Guiyang North - Xianning North</t>
  </si>
  <si>
    <t>Guiyang - Xianning</t>
  </si>
  <si>
    <t>China, Zhangzhou Fujian</t>
  </si>
  <si>
    <t>Guiyang East - Zhangzhou</t>
  </si>
  <si>
    <t>Guiyang - Zhangzhou Fujian</t>
  </si>
  <si>
    <t>China, Zhanjiang</t>
  </si>
  <si>
    <t>Guiyang East - Zhanjiang West</t>
  </si>
  <si>
    <t>Guizhou - Anyang</t>
  </si>
  <si>
    <t>Guizhou - Bijie</t>
  </si>
  <si>
    <t>Zunyi - Dali Yunnan</t>
  </si>
  <si>
    <t>Guizhou - Wuhu</t>
  </si>
  <si>
    <t>Guizhou - Xianning</t>
  </si>
  <si>
    <t>Guizhou - Zhangzhou Fujian</t>
  </si>
  <si>
    <t>Guzhang - Anyang</t>
  </si>
  <si>
    <t>Guzhang - Bijie</t>
  </si>
  <si>
    <t>Guzhang - Changzhou</t>
  </si>
  <si>
    <t>Guzhang - Guiyang</t>
  </si>
  <si>
    <t>Guzhang - Kaifeng</t>
  </si>
  <si>
    <t>Guzhang - Luoyang</t>
  </si>
  <si>
    <t>Guzhang - Wuhu</t>
  </si>
  <si>
    <t>Guzhang - Xianning</t>
  </si>
  <si>
    <t>Guzhang - Zhanjiang</t>
  </si>
  <si>
    <t>China, Haikou</t>
  </si>
  <si>
    <t>Haikou - Changliu</t>
  </si>
  <si>
    <t>Chengxi Hainan - Changliu</t>
  </si>
  <si>
    <t>China, Hami</t>
  </si>
  <si>
    <t>Hami - Handan</t>
  </si>
  <si>
    <t>Handan East - Nanchang West</t>
  </si>
  <si>
    <t>China, Changzhi</t>
  </si>
  <si>
    <t>Hangzhou East - Changzhi South</t>
  </si>
  <si>
    <t>Hangzhou South - Changzhi South</t>
  </si>
  <si>
    <t>Hangzhou - Changzhi</t>
  </si>
  <si>
    <t>Hangzhou East - Liling East</t>
  </si>
  <si>
    <t>China, Suqian</t>
  </si>
  <si>
    <t>Hangzhou East - Suqian</t>
  </si>
  <si>
    <t>Hangzhou - Suqian</t>
  </si>
  <si>
    <t>Hanzhong - Qingdao</t>
  </si>
  <si>
    <t>China, Dalian</t>
  </si>
  <si>
    <t>Harbin West - Jinpu</t>
  </si>
  <si>
    <t>China, Mishan</t>
  </si>
  <si>
    <t>Harbin - Mishan</t>
  </si>
  <si>
    <t>China, Suifenhe</t>
  </si>
  <si>
    <t>Harbin West - Suifenhe</t>
  </si>
  <si>
    <t>Harbin West - Hengdaohezi East</t>
  </si>
  <si>
    <t>Harbin - Hengdaohezi East</t>
  </si>
  <si>
    <t>Xingtai East - Tangshan</t>
  </si>
  <si>
    <t>Hefei South - Dezhou East</t>
  </si>
  <si>
    <t>Hefei - Dezhou</t>
  </si>
  <si>
    <t>Hefei - Dezhou East</t>
  </si>
  <si>
    <t>Hefei - Jian Jiangxi</t>
  </si>
  <si>
    <t>Hefei - Zaozhuang East</t>
  </si>
  <si>
    <t>Heilongjiang - Mishan</t>
  </si>
  <si>
    <t>Heilongjiang - Shijiazhuang</t>
  </si>
  <si>
    <t>Hebi East - Xingtai East</t>
  </si>
  <si>
    <t>Jiaozuo - Shanghai Hongqiao</t>
  </si>
  <si>
    <t>Henan - Xinyang</t>
  </si>
  <si>
    <t>Jiaozuo - Xinyang East</t>
  </si>
  <si>
    <t>Hengshui - Luoyang</t>
  </si>
  <si>
    <t>Hengshui - Qinhuangdao</t>
  </si>
  <si>
    <t>Hengshui North - Xuchang East</t>
  </si>
  <si>
    <t>Hengshui - Xuchang</t>
  </si>
  <si>
    <t>Hengyang East - Hangzhou West</t>
  </si>
  <si>
    <t>Heze East Railway Station - Chengdu East</t>
  </si>
  <si>
    <t>Heze - Chengdu</t>
  </si>
  <si>
    <t>Heze - Datong</t>
  </si>
  <si>
    <t>Caoxian - Dongguan East</t>
  </si>
  <si>
    <t>China, Shiyan</t>
  </si>
  <si>
    <t>Heze - Shiyan</t>
  </si>
  <si>
    <t>Heze East Railway Station - Weifang North</t>
  </si>
  <si>
    <t>China, Hezhou</t>
  </si>
  <si>
    <t>China, Baise</t>
  </si>
  <si>
    <t>Hezhou - Baise</t>
  </si>
  <si>
    <t>Hohhot East - Harbin West</t>
  </si>
  <si>
    <t>Hohhot - Harbin West</t>
  </si>
  <si>
    <t>Hohhot - Harbin</t>
  </si>
  <si>
    <t>China, Yinchuan</t>
  </si>
  <si>
    <t>Hohhot East - Yinchuan</t>
  </si>
  <si>
    <t>Hohhot - Yinchuan</t>
  </si>
  <si>
    <t>Hong Kong Island - Beijing</t>
  </si>
  <si>
    <t>Hong Kong Island - Boluo</t>
  </si>
  <si>
    <t>Hong Kong Island - Changsha</t>
  </si>
  <si>
    <t>Hong Kong Island - Chengdu</t>
  </si>
  <si>
    <t>Hong Kong Island - Chongqing</t>
  </si>
  <si>
    <t>Hong Kong Island - Dongcheng South</t>
  </si>
  <si>
    <t>Hong Kong Island - Dongguan</t>
  </si>
  <si>
    <t>Hong Kong Island - Duan Yao</t>
  </si>
  <si>
    <t>Hong Kong Island - Foshan</t>
  </si>
  <si>
    <t>Hong Kong Island - Fujian</t>
  </si>
  <si>
    <t>Hong Kong Island - Guangdong</t>
  </si>
  <si>
    <t>Hong Kong Island - Guangzhou</t>
  </si>
  <si>
    <t>Hong Kong Island - Guilin</t>
  </si>
  <si>
    <t>Hong Kong Island - Guiyang</t>
  </si>
  <si>
    <t>Hong Kong Island - Guizhou</t>
  </si>
  <si>
    <t>Hong Kong Island - Guzhang</t>
  </si>
  <si>
    <t>Hong Kong Island - Hangzhou</t>
  </si>
  <si>
    <t>Hong Kong Island - Henan</t>
  </si>
  <si>
    <t>Hong Kong Island - Huidong</t>
  </si>
  <si>
    <t>Hong Kong Island - Huiyang District</t>
  </si>
  <si>
    <t>China, Huizhou</t>
  </si>
  <si>
    <t>Hong Kong Island - Huizhou</t>
  </si>
  <si>
    <t>Hong Kong Island - Humen Town</t>
  </si>
  <si>
    <t>Hong Kong Island - Hunan</t>
  </si>
  <si>
    <t>Hong Kong Island - Jiangbei</t>
  </si>
  <si>
    <t>Hong Kong Island - Jiangjin</t>
  </si>
  <si>
    <t>Hong Kong Island - Jiangxia</t>
  </si>
  <si>
    <t>Hong Kong Island - Jiangyuan</t>
  </si>
  <si>
    <t>Hong Kong Island - Jiaocheng</t>
  </si>
  <si>
    <t>China, Kaiping</t>
  </si>
  <si>
    <t>Hong Kong Island - Kaiping</t>
  </si>
  <si>
    <t>Hong Kong Island - Kunming</t>
  </si>
  <si>
    <t>China, Lufeng Guangdong</t>
  </si>
  <si>
    <t>Hong Kong Island - Lufeng Guangdong</t>
  </si>
  <si>
    <t>Hong Kong Island - Maoming</t>
  </si>
  <si>
    <t>Hong Kong Island - Mingxi</t>
  </si>
  <si>
    <t>Hong Kong Island - Nanchang</t>
  </si>
  <si>
    <t>Hong Kong Island - Nanning</t>
  </si>
  <si>
    <t>China, Pingshan Shenzhen</t>
  </si>
  <si>
    <t>Hong Kong Island - Pingshan Shenzhen</t>
  </si>
  <si>
    <t>Hong Kong Island - Puning</t>
  </si>
  <si>
    <t>Hong Kong Island - Quanzhou</t>
  </si>
  <si>
    <t>Hong Kong Island - Saihan</t>
  </si>
  <si>
    <t>Hong Kong Island - Shanghai</t>
  </si>
  <si>
    <t>China, Shantou</t>
  </si>
  <si>
    <t>Hong Kong Island - Shantou</t>
  </si>
  <si>
    <t>China, Shanwei</t>
  </si>
  <si>
    <t>Hong Kong Island - Shanwei</t>
  </si>
  <si>
    <t>Hong Kong Island - Shaoyang</t>
  </si>
  <si>
    <t>Hong Kong Island - Shenzhen</t>
  </si>
  <si>
    <t>Hong Kong Island - Sichuan</t>
  </si>
  <si>
    <t>Hong Kong Island - Tianjin</t>
  </si>
  <si>
    <t>Hong Kong Island - Tianxin</t>
  </si>
  <si>
    <t>Hong Kong Island - Wuhan</t>
  </si>
  <si>
    <t>China, Wuzhou</t>
  </si>
  <si>
    <t>Hong Kong Island - Wuzhou</t>
  </si>
  <si>
    <t>Hong Kong Island - Xiamen</t>
  </si>
  <si>
    <t>Hong Kong Island - Xihu</t>
  </si>
  <si>
    <t>Hong Kong Island - Xishui</t>
  </si>
  <si>
    <t>Hong Kong Island - Yunnan</t>
  </si>
  <si>
    <t>Hong Kong Island - Zhangjiajie</t>
  </si>
  <si>
    <t>Hong Kong Island - Zhanjiang</t>
  </si>
  <si>
    <t>Hong Kong Island - Zhejiang</t>
  </si>
  <si>
    <t>Hong Kong Island - Zhengzhou</t>
  </si>
  <si>
    <t>Hong Kong Island - Zhuhai</t>
  </si>
  <si>
    <t>ferry</t>
  </si>
  <si>
    <t>Hong Kong West Kowloon - Boluo</t>
  </si>
  <si>
    <t>Hong Kong West Kowloon - Dongcheng South</t>
  </si>
  <si>
    <t>Hong Kong West Kowloon - Duan Yao</t>
  </si>
  <si>
    <t>Hong Kong West Kowloon - Guzhang</t>
  </si>
  <si>
    <t>Hong Kong West Kowloon - Henan</t>
  </si>
  <si>
    <t>Hong Kong West Kowloon - Hengqin Island</t>
  </si>
  <si>
    <t>Hong Kong West Kowloon - Huidong</t>
  </si>
  <si>
    <t>Hong Kong West Kowloon - Huidong South</t>
  </si>
  <si>
    <t>Hong Kong West Kowloon - Jiangbei</t>
  </si>
  <si>
    <t>Hong Kong West Kowloon - Jiangjin</t>
  </si>
  <si>
    <t>Hong Kong West Kowloon - Jiangxia</t>
  </si>
  <si>
    <t>Hong Kong West Kowloon - Jiangyuan</t>
  </si>
  <si>
    <t>Hong Kong West Kowloon - Jiaocheng</t>
  </si>
  <si>
    <t>Hong Kong West Kowloon - Kaiping</t>
  </si>
  <si>
    <t>Hong Kong West Kowloon - Kaiping South</t>
  </si>
  <si>
    <t>Hong Kong West Kowloon - Mingxi</t>
  </si>
  <si>
    <t>Hong Kong West Kowloon - Saihan</t>
  </si>
  <si>
    <t>Hong Kong West Kowloon - Shaoyang</t>
  </si>
  <si>
    <t>Hong Kong West Kowloon - Sichuan</t>
  </si>
  <si>
    <t>Hong Kong West Kowloon - Tianxin</t>
  </si>
  <si>
    <t>Hong Kong West Kowloon - Xihu</t>
  </si>
  <si>
    <t>Hong Kong West Kowloon - Xishui</t>
  </si>
  <si>
    <t>Hong Kong West Kowloon - Yangchun</t>
  </si>
  <si>
    <t>Hong Kong West Kowloon - Yunnan</t>
  </si>
  <si>
    <t>Hong Kong West Kowloon - Zhejiang</t>
  </si>
  <si>
    <t>China, Hotan</t>
  </si>
  <si>
    <t>China, Aksu</t>
  </si>
  <si>
    <t>Hetian - Aksu</t>
  </si>
  <si>
    <t>Hotan - Aksu</t>
  </si>
  <si>
    <t>China, Kashgar</t>
  </si>
  <si>
    <t>Hetian - Kashgar</t>
  </si>
  <si>
    <t>Hotan - Kashgar</t>
  </si>
  <si>
    <t>China, Xinjiang</t>
  </si>
  <si>
    <t>Hotan - Xinjiang</t>
  </si>
  <si>
    <t>China, Huanggang</t>
  </si>
  <si>
    <t>Huanggang West - Xiangyang East</t>
  </si>
  <si>
    <t>Huanggang - Xiangyang</t>
  </si>
  <si>
    <t>China, Huangshan</t>
  </si>
  <si>
    <t>Huangshan North - Wuyuan Jiangxi</t>
  </si>
  <si>
    <t>Huangshan - Jiangxi</t>
  </si>
  <si>
    <t>Huiyang District - Changsha</t>
  </si>
  <si>
    <t>Huiyang - Changsha South</t>
  </si>
  <si>
    <t>Huizhounan - Changsha South</t>
  </si>
  <si>
    <t>Huiyang District - Guangzhou</t>
  </si>
  <si>
    <t>Huiyang - Guangzhou East</t>
  </si>
  <si>
    <t>Huiyang - Guangzhou South</t>
  </si>
  <si>
    <t>Huiyang District - Hong Kong</t>
  </si>
  <si>
    <t>Huizhou - Harbin</t>
  </si>
  <si>
    <t>Yongzhou - Hangzhou East</t>
  </si>
  <si>
    <t>Yongzhou - Hangzhou South</t>
  </si>
  <si>
    <t>Yongzhou - Hangzhou West</t>
  </si>
  <si>
    <t>Yongzhou - Shenzhen North</t>
  </si>
  <si>
    <t>China, Hunchun</t>
  </si>
  <si>
    <t>China, Anshan</t>
  </si>
  <si>
    <t>Hunchun - Anshan</t>
  </si>
  <si>
    <t>Hunchun - Anshan West</t>
  </si>
  <si>
    <t>Inner Mongolia - Hebei</t>
  </si>
  <si>
    <t>Xilinhaote - Hohhot</t>
  </si>
  <si>
    <t>Xilinhaote - Hohhot East</t>
  </si>
  <si>
    <t>Inner Mongolia - Shijiazhuang</t>
  </si>
  <si>
    <t>China, Jiamusi</t>
  </si>
  <si>
    <t>Jiamusi - Daminghu</t>
  </si>
  <si>
    <t>Jiamusi - Jinan</t>
  </si>
  <si>
    <t>Dongtai - Jinan</t>
  </si>
  <si>
    <t>Yixing - Shanghai Hongqiao</t>
  </si>
  <si>
    <t>China, Yichang</t>
  </si>
  <si>
    <t>Jiangsu - Yichang</t>
  </si>
  <si>
    <t>Yushan South - Hangzhou East</t>
  </si>
  <si>
    <t>Yushan South - Hangzhou South</t>
  </si>
  <si>
    <t>Yushan Jiangxi - Nanchang</t>
  </si>
  <si>
    <t>Jiangxi - Yiwu</t>
  </si>
  <si>
    <t>Jiaxing South - Chongqing North</t>
  </si>
  <si>
    <t>Jiaxing South - Chongqing West</t>
  </si>
  <si>
    <t>Jiaxing - Chongqing North</t>
  </si>
  <si>
    <t>Jiaxing South - Wenzhou South</t>
  </si>
  <si>
    <t>Jiaxing - Wenzhou</t>
  </si>
  <si>
    <t>China, Jiayuguan City</t>
  </si>
  <si>
    <t>Jiayuguan South - Beijing West</t>
  </si>
  <si>
    <t>Yumen - Beijing West</t>
  </si>
  <si>
    <t>Jiayuguan City - Chengdu</t>
  </si>
  <si>
    <t>Jiayuguan South - Chengdu West</t>
  </si>
  <si>
    <t>Jiayuguan - Chengdu West</t>
  </si>
  <si>
    <t>Jiayuguan City - Wuhan</t>
  </si>
  <si>
    <t>Jiayuguan South - Wuchang</t>
  </si>
  <si>
    <t>Jiayuguan - Wuchang</t>
  </si>
  <si>
    <t>China, Jiexiu</t>
  </si>
  <si>
    <t>Jiexiu East - Taiyuan Shanxi</t>
  </si>
  <si>
    <t>Jiexiu East - Taiyuan South</t>
  </si>
  <si>
    <t>Jiexiu - Taiyuan</t>
  </si>
  <si>
    <t>Jiexiu - Taiyuan Shanxi</t>
  </si>
  <si>
    <t>China, Jilin</t>
  </si>
  <si>
    <t>Changbaishan - Harbin North</t>
  </si>
  <si>
    <t>Changbaishan - Harbin West</t>
  </si>
  <si>
    <t>Jilin - Qingdao</t>
  </si>
  <si>
    <t>Jilin - Qingdao North</t>
  </si>
  <si>
    <t>Jinan West - Changzhou North</t>
  </si>
  <si>
    <t>Jinan - Hangzhou West</t>
  </si>
  <si>
    <t>Jinan East - Hongdao</t>
  </si>
  <si>
    <t>Jinan - Suzhou North</t>
  </si>
  <si>
    <t>China, Jincheng</t>
  </si>
  <si>
    <t>Jincheng - Shanghai</t>
  </si>
  <si>
    <t>Jingdezhen North - Jinhua</t>
  </si>
  <si>
    <t>Jingdezhen - Jinhua</t>
  </si>
  <si>
    <t>Jingdezhen North - Quanzhou East</t>
  </si>
  <si>
    <t>Jingdezhen - Quanzhou</t>
  </si>
  <si>
    <t>Jinhua - Kunming</t>
  </si>
  <si>
    <t>Jinhua - Kunming South</t>
  </si>
  <si>
    <t>Jinhua - Dayu</t>
  </si>
  <si>
    <t>Jinhua - Weifang</t>
  </si>
  <si>
    <t>China, Xinyu</t>
  </si>
  <si>
    <t>Jinhua - Xinyu</t>
  </si>
  <si>
    <t>Jinhua South - Xuchang East</t>
  </si>
  <si>
    <t>Jinhua - Xuchang</t>
  </si>
  <si>
    <t>Jinhua - Xuchang East</t>
  </si>
  <si>
    <t>China, Yibin</t>
  </si>
  <si>
    <t>Jinhua - Yibin</t>
  </si>
  <si>
    <t>Jinhua - Yibin West</t>
  </si>
  <si>
    <t>Jinhua - Yunnan</t>
  </si>
  <si>
    <t>Jining - Guangdong</t>
  </si>
  <si>
    <t>Jining - Nanning</t>
  </si>
  <si>
    <t>Tengzhou East - Qufu East</t>
  </si>
  <si>
    <t>China, Liuzhou</t>
  </si>
  <si>
    <t>Jiujiang - Liuzhou</t>
  </si>
  <si>
    <t>China, Jixi</t>
  </si>
  <si>
    <t>Jixi - Daqing</t>
  </si>
  <si>
    <t>Jixi - Daqing East</t>
  </si>
  <si>
    <t>China, Karamay</t>
  </si>
  <si>
    <t>China, Urumqi</t>
  </si>
  <si>
    <t>Karamay - Urumqi South</t>
  </si>
  <si>
    <t>Karamay - Xinjiang</t>
  </si>
  <si>
    <t>Kunming South - Guigang</t>
  </si>
  <si>
    <t>Kunming - Guigang</t>
  </si>
  <si>
    <t>Kunming South - Hangzhou West</t>
  </si>
  <si>
    <t>China, Kunshan</t>
  </si>
  <si>
    <t>Kunshan South - Guiyang North</t>
  </si>
  <si>
    <t>Kunshan - Guiyang</t>
  </si>
  <si>
    <t>China, Kuytun</t>
  </si>
  <si>
    <t>China, Bole</t>
  </si>
  <si>
    <t>Kuytun - Bole</t>
  </si>
  <si>
    <t>Kuytun - Xinjiang</t>
  </si>
  <si>
    <t>China, Langfang</t>
  </si>
  <si>
    <t>Langfang - Taian Shandong</t>
  </si>
  <si>
    <t>Lanzhou West - Baoding East</t>
  </si>
  <si>
    <t>Lanzhou - Baoding</t>
  </si>
  <si>
    <t>Lanzhou West - Changzhou</t>
  </si>
  <si>
    <t>Lanzhou West - Changzhou North</t>
  </si>
  <si>
    <t>Lanzhou - Changzhou</t>
  </si>
  <si>
    <t>Lanzhou West - Guangyuan</t>
  </si>
  <si>
    <t>Lanzhou - Harbin</t>
  </si>
  <si>
    <t>Lanzhou West - Luoyang</t>
  </si>
  <si>
    <t>Lanzhou West - Luoyang Longmen</t>
  </si>
  <si>
    <t>Lanzhou West - Nanchang West</t>
  </si>
  <si>
    <t>Lanzhou - Qingdao North</t>
  </si>
  <si>
    <t>China, Shandan</t>
  </si>
  <si>
    <t>Lanzhou West - Shandan</t>
  </si>
  <si>
    <t>Lanzhou - Shandan</t>
  </si>
  <si>
    <t>Lanzhou West - Shangqiu</t>
  </si>
  <si>
    <t>Lanzhou - Shangqiu</t>
  </si>
  <si>
    <t>Lanzhou West - Shenyang</t>
  </si>
  <si>
    <t>Lanzhou - Shenyang</t>
  </si>
  <si>
    <t>Lanzhou West - Shijiazhuang</t>
  </si>
  <si>
    <t>Lanzhou West - Shijiazhuang East</t>
  </si>
  <si>
    <t>Lanzhou - Shijiazhuang</t>
  </si>
  <si>
    <t>Lanzhou - Shijiazhuang North</t>
  </si>
  <si>
    <t>Lanzhou West - Suzhou</t>
  </si>
  <si>
    <t>Lanzhou West - Suzhou North</t>
  </si>
  <si>
    <t>Lanzhou - Suzhou</t>
  </si>
  <si>
    <t>Lanzhou - Taizhou Jiangsu</t>
  </si>
  <si>
    <t>Lanzhou West - Weinan</t>
  </si>
  <si>
    <t>Lanzhou - Weinan West</t>
  </si>
  <si>
    <t>Lanzhou West - Menyuan</t>
  </si>
  <si>
    <t>Lanzhou West - Xinxiang East</t>
  </si>
  <si>
    <t>Lanzhou - Xinxiang</t>
  </si>
  <si>
    <t>Lanzhou West - Xuchang East</t>
  </si>
  <si>
    <t>Lanzhou West - Xuzhou</t>
  </si>
  <si>
    <t>Lanzhou West - Xuzhou East</t>
  </si>
  <si>
    <t>Lanzhou - Xuzhou</t>
  </si>
  <si>
    <t>Lanzhou West - Zhongwei</t>
  </si>
  <si>
    <t>Lanzhou West - Zhongwei South</t>
  </si>
  <si>
    <t>Lanzhou - Zhongwei</t>
  </si>
  <si>
    <t>Leshan - Changsha</t>
  </si>
  <si>
    <t>Leshan - Changsha South</t>
  </si>
  <si>
    <t>Leshan - Guiyang</t>
  </si>
  <si>
    <t>Leshan - Guiyang East</t>
  </si>
  <si>
    <t>Leshan - Guiyang North</t>
  </si>
  <si>
    <t>China, Lhasa</t>
  </si>
  <si>
    <t>China, Golmud</t>
  </si>
  <si>
    <t>Lhasa Tibet - Golmud</t>
  </si>
  <si>
    <t>Lhasa - Golmud</t>
  </si>
  <si>
    <t>Lhasa - Guangdong</t>
  </si>
  <si>
    <t>Lhasa - Hubei</t>
  </si>
  <si>
    <t>Lhasa - Jiaocheng</t>
  </si>
  <si>
    <t>Lhasa - Qinghai</t>
  </si>
  <si>
    <t>Lhasa - Shuangliu</t>
  </si>
  <si>
    <t>China, Tibet</t>
  </si>
  <si>
    <t>Lhasa Tibet - Shigatse</t>
  </si>
  <si>
    <t>Lhasa - Tibet</t>
  </si>
  <si>
    <t>Lhasa - Wenjiang</t>
  </si>
  <si>
    <t>Lhasa Tibet - Wuchang</t>
  </si>
  <si>
    <t>Lhasa - Wuhan</t>
  </si>
  <si>
    <t>China, Liancheng</t>
  </si>
  <si>
    <t>Liancheng - Guangxi</t>
  </si>
  <si>
    <t>Liancheng - Liuzhou</t>
  </si>
  <si>
    <t>Liancheng - Mingxi</t>
  </si>
  <si>
    <t>Liancheng - Nanning</t>
  </si>
  <si>
    <t>Lianyungang - Changchun</t>
  </si>
  <si>
    <t>Lianyungang - Changchun West</t>
  </si>
  <si>
    <t>Lianyungang - Gansu</t>
  </si>
  <si>
    <t>Lianyungang - Guangzhou</t>
  </si>
  <si>
    <t>Lianyungang - Guangzhou South</t>
  </si>
  <si>
    <t>Lianyungang - Hangzhou East</t>
  </si>
  <si>
    <t>Lianyungang - Hangzhou West</t>
  </si>
  <si>
    <t>Lianyungang - Hefei</t>
  </si>
  <si>
    <t>Lianyungang - Hefei South</t>
  </si>
  <si>
    <t>Lianyungang - Henan</t>
  </si>
  <si>
    <t>Lianyungang - Baoying</t>
  </si>
  <si>
    <t>Lianyungang - Huaian</t>
  </si>
  <si>
    <t>Lianyungang - Lianshui</t>
  </si>
  <si>
    <t>Lianyungang - Jiangning</t>
  </si>
  <si>
    <t>Lianyungang - Jiangning West</t>
  </si>
  <si>
    <t>Lianyungang - Jiangzhou</t>
  </si>
  <si>
    <t>Lianyungang - Jiaocheng</t>
  </si>
  <si>
    <t>Lianyungang - Jinan</t>
  </si>
  <si>
    <t>Lianyungang - Jining</t>
  </si>
  <si>
    <t>Lianyungang - Tengzhou East</t>
  </si>
  <si>
    <t>Lianyungang - Lanzhou</t>
  </si>
  <si>
    <t>Lianyungang - Lanzhou West</t>
  </si>
  <si>
    <t>Lianyungang - Luoyang</t>
  </si>
  <si>
    <t>Lianyungang - Luoyang Longmen</t>
  </si>
  <si>
    <t>Lianyungang - Saihan</t>
  </si>
  <si>
    <t>Lianyungang - Shanghai Songjiang</t>
  </si>
  <si>
    <t>Lianyungang - Songjiang North</t>
  </si>
  <si>
    <t>Lianyungang - Songjiang Shanghai</t>
  </si>
  <si>
    <t>China, Tianshui</t>
  </si>
  <si>
    <t>Lianyungang - Tianshui</t>
  </si>
  <si>
    <t>Lianyungang - Tianshui South</t>
  </si>
  <si>
    <t>Lianyungang - Tianxin</t>
  </si>
  <si>
    <t>Lianyungang - Weifang</t>
  </si>
  <si>
    <t>Lianyungang - Weifang North</t>
  </si>
  <si>
    <t>Lianyungang - Wuhu</t>
  </si>
  <si>
    <t>Lianyungang - Xigu</t>
  </si>
  <si>
    <t>Lianyungang - Xihu</t>
  </si>
  <si>
    <t>Liaoning - Anyang</t>
  </si>
  <si>
    <t>Liaoning - Baoding</t>
  </si>
  <si>
    <t>Liaoning - Daqing</t>
  </si>
  <si>
    <t>Liaoning - Fuyang Anhui</t>
  </si>
  <si>
    <t>Liaoning - Heihe</t>
  </si>
  <si>
    <t>Liaoning - Heze</t>
  </si>
  <si>
    <t>Liaoning - Huaxi</t>
  </si>
  <si>
    <t>Liaoning - Jiangning</t>
  </si>
  <si>
    <t>Liaoning - Jiangzhou</t>
  </si>
  <si>
    <t>Liaoning - Jiaocheng</t>
  </si>
  <si>
    <t>Liaoning - Lianyungang</t>
  </si>
  <si>
    <t>Liaoning - Mingxi</t>
  </si>
  <si>
    <t>China, Panjin</t>
  </si>
  <si>
    <t>Liaoning - Panjin</t>
  </si>
  <si>
    <t>Liaoning - Qinghai</t>
  </si>
  <si>
    <t>Liaoning - Rizhao</t>
  </si>
  <si>
    <t>Liaoning - Shuangliu</t>
  </si>
  <si>
    <t>China, Shuangyashan</t>
  </si>
  <si>
    <t>Liaoning - Shuangyashan</t>
  </si>
  <si>
    <t>China, Songyuan</t>
  </si>
  <si>
    <t>Liaoning - Songyuan</t>
  </si>
  <si>
    <t>Liaoning - Taian</t>
  </si>
  <si>
    <t>Liaoning - Taian Shandong</t>
  </si>
  <si>
    <t>Liaoning - Tianxin</t>
  </si>
  <si>
    <t>Liaoning - Weifang</t>
  </si>
  <si>
    <t>Liaoning - Wenjiang</t>
  </si>
  <si>
    <t>Liaoning - Wuhu</t>
  </si>
  <si>
    <t>Liaoning - Xihu</t>
  </si>
  <si>
    <t>Liaoning - Xining</t>
  </si>
  <si>
    <t>Liaoning - Xinyi</t>
  </si>
  <si>
    <t>Liaoning - Xunxian</t>
  </si>
  <si>
    <t>Liaoning - Yichun Heilongjiang</t>
  </si>
  <si>
    <t>Liaoning - Yijiang</t>
  </si>
  <si>
    <t>Liaoning - Blagoveshchensk</t>
  </si>
  <si>
    <t>Liaoyuan - Jilin</t>
  </si>
  <si>
    <t>Liaoyuan - Liaoning</t>
  </si>
  <si>
    <t>Liaoyuan - Shenyang</t>
  </si>
  <si>
    <t>Liaoyuan - Shenyang North</t>
  </si>
  <si>
    <t>China, Siping</t>
  </si>
  <si>
    <t>Liaoyuan - Siping</t>
  </si>
  <si>
    <t>China, Lijiang</t>
  </si>
  <si>
    <t>Lijiang - Mingxi</t>
  </si>
  <si>
    <t>Lijiang - Nanning East</t>
  </si>
  <si>
    <t>China, Xiangyun County</t>
  </si>
  <si>
    <t>Lijiang - Xiangyun County</t>
  </si>
  <si>
    <t>Lincang - Dali</t>
  </si>
  <si>
    <t>Lincang - Dali Yunnan</t>
  </si>
  <si>
    <t>Lincang - Kunming</t>
  </si>
  <si>
    <t>Lincang - Kunming South</t>
  </si>
  <si>
    <t>Lincang - Yunnan</t>
  </si>
  <si>
    <t>China, Linfen</t>
  </si>
  <si>
    <t>China, Beidaihe</t>
  </si>
  <si>
    <t>Linfen - Beidaihe</t>
  </si>
  <si>
    <t>Linfen - Changsha</t>
  </si>
  <si>
    <t>Linfen - Gansu</t>
  </si>
  <si>
    <t>Linfen - Hebei</t>
  </si>
  <si>
    <t>Linfen - Henan</t>
  </si>
  <si>
    <t>Linfen - Hohhot</t>
  </si>
  <si>
    <t>Linfen - Hohhot East</t>
  </si>
  <si>
    <t>Linfen - Hunan</t>
  </si>
  <si>
    <t>Linfen - Jiangzhou</t>
  </si>
  <si>
    <t>Linfen West - Lanzhou West</t>
  </si>
  <si>
    <t>Linfen - Lanzhou</t>
  </si>
  <si>
    <t>Linfen West - Mianyang</t>
  </si>
  <si>
    <t>Linfen - Mianyang</t>
  </si>
  <si>
    <t>Linfen West - Pingyao Ancient City</t>
  </si>
  <si>
    <t>Linfen - Pingyao</t>
  </si>
  <si>
    <t>Linfen West - Shijiazhuang East</t>
  </si>
  <si>
    <t>Linfen - Shuangliu</t>
  </si>
  <si>
    <t>Linfen - Suzhou</t>
  </si>
  <si>
    <t>Linfen - Taian</t>
  </si>
  <si>
    <t>Linfen - Tianxin</t>
  </si>
  <si>
    <t>Linfen - Xigu</t>
  </si>
  <si>
    <t>Lingshi County - Beijing</t>
  </si>
  <si>
    <t>Lingshi County - Shaanxi</t>
  </si>
  <si>
    <t>Lingshi County - Xian</t>
  </si>
  <si>
    <t>China, Linyi</t>
  </si>
  <si>
    <t>Linyi - Changchun</t>
  </si>
  <si>
    <t>Linyi - Harbin</t>
  </si>
  <si>
    <t>Linyi - Hefei</t>
  </si>
  <si>
    <t>Linyi - Heilongjiang</t>
  </si>
  <si>
    <t>China, Ledong Li</t>
  </si>
  <si>
    <t>Linyi - Ledong Li</t>
  </si>
  <si>
    <t>Linyi - Liaoning</t>
  </si>
  <si>
    <t>Linyi - Shangqiu</t>
  </si>
  <si>
    <t>Linyi - Shenyang North</t>
  </si>
  <si>
    <t>Linyi - Shenyang</t>
  </si>
  <si>
    <t>Linyi - Sihui</t>
  </si>
  <si>
    <t>Linyi North - Tianjin</t>
  </si>
  <si>
    <t>Linyi North - Tianjin South</t>
  </si>
  <si>
    <t>Linyi North - Tianjin West</t>
  </si>
  <si>
    <t>Linyi - Xihu</t>
  </si>
  <si>
    <t>Linyi - Xunxian</t>
  </si>
  <si>
    <t>Linyi - Zhejiang</t>
  </si>
  <si>
    <t>Liuzhou - Duan Yao</t>
  </si>
  <si>
    <t>Liuzhou - Huaihua</t>
  </si>
  <si>
    <t>Liuzhou - Huaihua South</t>
  </si>
  <si>
    <t>Liuzhou - Huiyang</t>
  </si>
  <si>
    <t>Liuzhou - Huiyang District</t>
  </si>
  <si>
    <t>China, Longnan</t>
  </si>
  <si>
    <t>Longnan - Gansu</t>
  </si>
  <si>
    <t>Longnan - Lanzhou</t>
  </si>
  <si>
    <t>Longyan - Changsha</t>
  </si>
  <si>
    <t>Longyan - Changsha South</t>
  </si>
  <si>
    <t>Longyan - Hunan</t>
  </si>
  <si>
    <t>Longyan - Jiaocheng</t>
  </si>
  <si>
    <t>Longyan - Tianxin</t>
  </si>
  <si>
    <t>Longyan - Wuhan</t>
  </si>
  <si>
    <t>Guanlin - Huludao</t>
  </si>
  <si>
    <t>Luoyang Longmen - Huludao North</t>
  </si>
  <si>
    <t>Luoyang - Huludao</t>
  </si>
  <si>
    <t>China, Jia</t>
  </si>
  <si>
    <t>Luoyang Longmen - Yuzhou</t>
  </si>
  <si>
    <t>Luoyang - Jia</t>
  </si>
  <si>
    <t>Luoyang Longmen - Linyi North</t>
  </si>
  <si>
    <t>Luoyang - Linyi</t>
  </si>
  <si>
    <t>Luoyang - Qinhuangdao</t>
  </si>
  <si>
    <t>China, Maanshan</t>
  </si>
  <si>
    <t>Maanshan - Guilin</t>
  </si>
  <si>
    <t>Maanshan - Guilin North</t>
  </si>
  <si>
    <t>Macau - Hengqin Island</t>
  </si>
  <si>
    <t>China, Manzhouli</t>
  </si>
  <si>
    <t>Manzhouli - Shanhaiguan</t>
  </si>
  <si>
    <t>Maoming - Nanchang</t>
  </si>
  <si>
    <t>Maoming - Nanning East</t>
  </si>
  <si>
    <t>Mianyang - Dazu Chongqing</t>
  </si>
  <si>
    <t>Mianyang - Rongchang North</t>
  </si>
  <si>
    <t>China, Korla</t>
  </si>
  <si>
    <t>Mianyang - Korla</t>
  </si>
  <si>
    <t>China, Shanxi</t>
  </si>
  <si>
    <t>Mianyang - Taigu West</t>
  </si>
  <si>
    <t>Mianyang - Shijiazhuang</t>
  </si>
  <si>
    <t>Mianyang - Shijiazhuang North</t>
  </si>
  <si>
    <t>Mianyang - Yantai</t>
  </si>
  <si>
    <t>Mishan - Jixi</t>
  </si>
  <si>
    <t>Nanchang - Harbin</t>
  </si>
  <si>
    <t>China, Ningxia</t>
  </si>
  <si>
    <t>Nanchang - Ningxia</t>
  </si>
  <si>
    <t>Nanchang - Tianshui</t>
  </si>
  <si>
    <t>China, Anting</t>
  </si>
  <si>
    <t>Nanjing - Anting</t>
  </si>
  <si>
    <t>Nanjing - Beidaihe</t>
  </si>
  <si>
    <t>Nanjing - Funing East</t>
  </si>
  <si>
    <t>Nanjing South - Binhai North</t>
  </si>
  <si>
    <t>Nanjing South - Binhai West</t>
  </si>
  <si>
    <t>Nanjing - Binhai</t>
  </si>
  <si>
    <t>Nanjing South - Wujin</t>
  </si>
  <si>
    <t>Nanjing South - Chuzhou</t>
  </si>
  <si>
    <t>Nanjing - Chuzhou</t>
  </si>
  <si>
    <t>Nanjing - Chuzhou North</t>
  </si>
  <si>
    <t>Nanjing - Datong</t>
  </si>
  <si>
    <t>Nanjing - Dongsheng</t>
  </si>
  <si>
    <t>Nanjing - Dongsheng West</t>
  </si>
  <si>
    <t>Nanjing - Fuxin</t>
  </si>
  <si>
    <t>Nanjing - Fuxin South</t>
  </si>
  <si>
    <t>Nanjing - Guzhang</t>
  </si>
  <si>
    <t>Nanjing South - Hangzhou West</t>
  </si>
  <si>
    <t>Nanjing South - Huainan South</t>
  </si>
  <si>
    <t>Nanjing South - Shouxian</t>
  </si>
  <si>
    <t>Nanjing - Huainan</t>
  </si>
  <si>
    <t>Nanjing South - Huanggang West</t>
  </si>
  <si>
    <t>Nanjing - Huanggang</t>
  </si>
  <si>
    <t>Nanjing South - Guangzhoubaiyun</t>
  </si>
  <si>
    <t>Nanjing - Guangzhoubaiyun</t>
  </si>
  <si>
    <t>Nanjing - Huaxi</t>
  </si>
  <si>
    <t>Nanjing South - Huiyang</t>
  </si>
  <si>
    <t>Nanjing - Huiyang District</t>
  </si>
  <si>
    <t>Nanjing - Jian Jiangxi</t>
  </si>
  <si>
    <t>Nanjing - Jiangbei</t>
  </si>
  <si>
    <t>Nanjing - Jiangjin</t>
  </si>
  <si>
    <t>Nanjing South - Jiangning West</t>
  </si>
  <si>
    <t>Nanjing - Jiangning</t>
  </si>
  <si>
    <t>Nanjing - Jiangxia</t>
  </si>
  <si>
    <t>Nanjing - Jiangyuan</t>
  </si>
  <si>
    <t>Nanjing - Jiangzhou</t>
  </si>
  <si>
    <t>Nanjing - Jiaocheng</t>
  </si>
  <si>
    <t>Nanjing - Jiaxiang</t>
  </si>
  <si>
    <t>Nanjing South - Quanzhounan</t>
  </si>
  <si>
    <t>Nanjing - Jinjiang</t>
  </si>
  <si>
    <t>Nanjing - Jinzhou</t>
  </si>
  <si>
    <t>China, Jiuquan</t>
  </si>
  <si>
    <t>Nanjing - Jiuquan</t>
  </si>
  <si>
    <t>Nanjing South - Kaifeng North</t>
  </si>
  <si>
    <t>Nanjing - Kaifeng</t>
  </si>
  <si>
    <t>China, Kaili City</t>
  </si>
  <si>
    <t>Nanjing South - Kaili South</t>
  </si>
  <si>
    <t>Nanjing - Kaili City</t>
  </si>
  <si>
    <t>Nanjing - Liupanshui</t>
  </si>
  <si>
    <t>Nanjing - Mingxi</t>
  </si>
  <si>
    <t>Nanjing - Ordos</t>
  </si>
  <si>
    <t>Nanjing - Ordos City</t>
  </si>
  <si>
    <t>Nanjing - Qinghai</t>
  </si>
  <si>
    <t>China, Qujing</t>
  </si>
  <si>
    <t>Nanjing South - Qujing North</t>
  </si>
  <si>
    <t>Nanjing - Qujing</t>
  </si>
  <si>
    <t>Nanjing - Saihan</t>
  </si>
  <si>
    <t>Nanjing - Shuangliu</t>
  </si>
  <si>
    <t>China, Shunchang</t>
  </si>
  <si>
    <t>Nanjing South - Jianxi</t>
  </si>
  <si>
    <t>Nanjing - Shunchang</t>
  </si>
  <si>
    <t>Nanjing South - Shanghai Songjiang</t>
  </si>
  <si>
    <t>Nanjing - Songjiang North</t>
  </si>
  <si>
    <t>Nanjing - Songjiang Shanghai</t>
  </si>
  <si>
    <t>Nanjing - Taian</t>
  </si>
  <si>
    <t>Nanjing - Tianxin</t>
  </si>
  <si>
    <t>Nanjing - Tongliao</t>
  </si>
  <si>
    <t>Nanjing - Wenjiang</t>
  </si>
  <si>
    <t>Nanjing - Xihu</t>
  </si>
  <si>
    <t>Nanjing South - Xining</t>
  </si>
  <si>
    <t>Nanjing South - Xinyang East</t>
  </si>
  <si>
    <t>Nanjing - Xinyang</t>
  </si>
  <si>
    <t>Nanjing - Xinyi</t>
  </si>
  <si>
    <t>Nanjing - Xishui</t>
  </si>
  <si>
    <t>Nanjing - Xunxian</t>
  </si>
  <si>
    <t>Nanjing - Yanan</t>
  </si>
  <si>
    <t>Nanjing South - Yueyang East</t>
  </si>
  <si>
    <t>Nanjing - Yueyang</t>
  </si>
  <si>
    <t>Nanjing - Yulin Guangxi</t>
  </si>
  <si>
    <t>Nanjing South - Yuncheng North</t>
  </si>
  <si>
    <t>Nanjing - Yuncheng</t>
  </si>
  <si>
    <t>Nanjing South - Xintang</t>
  </si>
  <si>
    <t>Nanjing - Zengcheng</t>
  </si>
  <si>
    <t>Nanjing South - Zhengzhou Hangkonggang</t>
  </si>
  <si>
    <t>Nanjing - Zhongwei</t>
  </si>
  <si>
    <t>Nanning East - Baoding</t>
  </si>
  <si>
    <t>Nanning - Shuangliu Airport</t>
  </si>
  <si>
    <t>Nanning - Guzhang</t>
  </si>
  <si>
    <t>Nanning - Hengqin Island</t>
  </si>
  <si>
    <t>Nanning - Hong Kong Island</t>
  </si>
  <si>
    <t>Nanning - Jiangning</t>
  </si>
  <si>
    <t>Nanning - Jiangzhou</t>
  </si>
  <si>
    <t>Nanning - Jiaocheng</t>
  </si>
  <si>
    <t>Nanning - Pujiangzhen</t>
  </si>
  <si>
    <t>Nanning East - Quzhou</t>
  </si>
  <si>
    <t>Nanning - Quzhou</t>
  </si>
  <si>
    <t>Nanning - Saihan</t>
  </si>
  <si>
    <t>China, Shanghai Hongqiao Airport</t>
  </si>
  <si>
    <t>Nanning - Changning</t>
  </si>
  <si>
    <t>Nanning East - Shaoyang</t>
  </si>
  <si>
    <t>Nanning East - Shaoyang West</t>
  </si>
  <si>
    <t>Nanning - Shaoyang</t>
  </si>
  <si>
    <t>Nanning - Shaoyang West</t>
  </si>
  <si>
    <t>Nanning - Shuangliu</t>
  </si>
  <si>
    <t>Nanning East - Longdongbao</t>
  </si>
  <si>
    <t>Nanning East - Shanghai Songjiang</t>
  </si>
  <si>
    <t>Nanning - Songjiang Shanghai</t>
  </si>
  <si>
    <t>Nanning - Tianxin</t>
  </si>
  <si>
    <t>Nanning - Wenjiang</t>
  </si>
  <si>
    <t>Nanning - Wuxi</t>
  </si>
  <si>
    <t>Nanning - Wuxi Jiangsu</t>
  </si>
  <si>
    <t>China, Wuyishan Fujian</t>
  </si>
  <si>
    <t>Nanning East - Wuyishan North</t>
  </si>
  <si>
    <t>Nanning - Wuyishan Fujian</t>
  </si>
  <si>
    <t>Nanning - Wuyishan North</t>
  </si>
  <si>
    <t>Nanning - Xihu</t>
  </si>
  <si>
    <t>Nanning - Xishui</t>
  </si>
  <si>
    <t>Nanning - Yangchun</t>
  </si>
  <si>
    <t>Nanning - Zhuzhou</t>
  </si>
  <si>
    <t>Nantong - Luoyang</t>
  </si>
  <si>
    <t>Nanyang - Hami</t>
  </si>
  <si>
    <t>Nanyang East - Zhengzhou</t>
  </si>
  <si>
    <t>Nanyang East - Zhengzhou East</t>
  </si>
  <si>
    <t>Nanyang East - Zhengzhou Hangkonggang</t>
  </si>
  <si>
    <t>Neijiang North - Guiyang East</t>
  </si>
  <si>
    <t>Neijiang North - Guiyang North</t>
  </si>
  <si>
    <t>Neijiang - Guiyang</t>
  </si>
  <si>
    <t>Neijiang - Guzhang</t>
  </si>
  <si>
    <t>Neijiang - Hunan</t>
  </si>
  <si>
    <t>Neijiang - Jiaxiang</t>
  </si>
  <si>
    <t>Neijiang North - Kunming South</t>
  </si>
  <si>
    <t>Neijiang - Kunming</t>
  </si>
  <si>
    <t>Neijiang North - Longchang North</t>
  </si>
  <si>
    <t>Neijiang - Longchang</t>
  </si>
  <si>
    <t>Neijiang North - Qingdao</t>
  </si>
  <si>
    <t>Neijiang North - Qingdao North</t>
  </si>
  <si>
    <t>Neijiang - Qingdao</t>
  </si>
  <si>
    <t>Neijiang - Saihan</t>
  </si>
  <si>
    <t>Neijiang - Shaanxi</t>
  </si>
  <si>
    <t>Neijiang - Shuangliu</t>
  </si>
  <si>
    <t>Neijiang North - Suzhou North</t>
  </si>
  <si>
    <t>Neijiang - Suzhou</t>
  </si>
  <si>
    <t>Neijiang - Tianxin</t>
  </si>
  <si>
    <t>Neijiang - Xishui</t>
  </si>
  <si>
    <t>Neijiang - Yunnan</t>
  </si>
  <si>
    <t>China, Jieshou</t>
  </si>
  <si>
    <t>Ningbo - Jieshou</t>
  </si>
  <si>
    <t>Ningbo - Jieshoushi</t>
  </si>
  <si>
    <t>Ningbo - Nanyang</t>
  </si>
  <si>
    <t>China, Shenqiu</t>
  </si>
  <si>
    <t>Ningbo - Shenqiu</t>
  </si>
  <si>
    <t>Ningbo - Yichun Jiangxi</t>
  </si>
  <si>
    <t>Ningbo - Cangnan</t>
  </si>
  <si>
    <t>China, Ningde</t>
  </si>
  <si>
    <t>Ningde - Shanghai Hongqiao</t>
  </si>
  <si>
    <t>Ordos City - Yanan</t>
  </si>
  <si>
    <t>Ordos - Yanan</t>
  </si>
  <si>
    <t>China, Benxi</t>
  </si>
  <si>
    <t>Panjin - Benxi</t>
  </si>
  <si>
    <t>Panjin - Dalian</t>
  </si>
  <si>
    <t>Panjin - Dalian North</t>
  </si>
  <si>
    <t>Panjin - Jinpu</t>
  </si>
  <si>
    <t>Panjin - Guangdong</t>
  </si>
  <si>
    <t>Panjin - Guangzhou</t>
  </si>
  <si>
    <t>Pingliang - Weinan</t>
  </si>
  <si>
    <t>Pingliang - Weinan West</t>
  </si>
  <si>
    <t>Pingshan Shenzhen - Jiaocheng</t>
  </si>
  <si>
    <t>China, Pingxiang</t>
  </si>
  <si>
    <t>Pingxiang - Henan</t>
  </si>
  <si>
    <t>Pingxiang - Jiangzhou</t>
  </si>
  <si>
    <t>Pingxiang North - Jianxi</t>
  </si>
  <si>
    <t>Pingxiang - Shunchang</t>
  </si>
  <si>
    <t>Pingxiang North - Xiamen</t>
  </si>
  <si>
    <t>Pingxiang North - Xiamen North</t>
  </si>
  <si>
    <t>Pingxiang - Xiamen</t>
  </si>
  <si>
    <t>Pingxiang - Xiamen North</t>
  </si>
  <si>
    <t>Pingxiang - Zhengzhou</t>
  </si>
  <si>
    <t>China, Fengzhen</t>
  </si>
  <si>
    <t>Pingyao - Fengzhen</t>
  </si>
  <si>
    <t>Pingyao Ancient City - Guangyuan</t>
  </si>
  <si>
    <t>Pingyao - Guangyuan</t>
  </si>
  <si>
    <t>Pingyao - Tangshan</t>
  </si>
  <si>
    <t>Pingyao Ancient City - Weinan North</t>
  </si>
  <si>
    <t>Pingyao - Weinan</t>
  </si>
  <si>
    <t>Pingyao Ancient City - Yantai South</t>
  </si>
  <si>
    <t>Pingyao - Yantai</t>
  </si>
  <si>
    <t>Qingdao North - Huaibei</t>
  </si>
  <si>
    <t>Qingdao North - Cangzhou West</t>
  </si>
  <si>
    <t>Qingdao - Cangzhou</t>
  </si>
  <si>
    <t>Qingdao - Cangzhou West</t>
  </si>
  <si>
    <t>Qingdao West - Heze</t>
  </si>
  <si>
    <t>Qingdao West - Heze East Railway Station</t>
  </si>
  <si>
    <t>Qingdao North - Zaozhuang East</t>
  </si>
  <si>
    <t>Qujing North - Hefei South</t>
  </si>
  <si>
    <t>Qujing - Hefei</t>
  </si>
  <si>
    <t>Qujing North - Quanzhou East</t>
  </si>
  <si>
    <t>Qujing - Quanzhou</t>
  </si>
  <si>
    <t>Rizhao - Anhui</t>
  </si>
  <si>
    <t>Rizhao West - Changsha South</t>
  </si>
  <si>
    <t>Rizhao - Changsha</t>
  </si>
  <si>
    <t>Rizhao West - Chengyang</t>
  </si>
  <si>
    <t>Rizhao - Chengyang</t>
  </si>
  <si>
    <t>Rizhao West - Guiyang North</t>
  </si>
  <si>
    <t>Rizhao - Guiyang</t>
  </si>
  <si>
    <t>Rizhao - Guizhou</t>
  </si>
  <si>
    <t>Rizhao - Guzhang</t>
  </si>
  <si>
    <t>Rizhao - Henan</t>
  </si>
  <si>
    <t>Rizhao - Heshan</t>
  </si>
  <si>
    <t>Rizhao - Hunan</t>
  </si>
  <si>
    <t>Rizhao - Jiangning</t>
  </si>
  <si>
    <t>Rizhao - Jiaocheng</t>
  </si>
  <si>
    <t>Rizhao West - Kaifeng North</t>
  </si>
  <si>
    <t>Rizhao - Kaifeng</t>
  </si>
  <si>
    <t>Rizhao - Liaoning</t>
  </si>
  <si>
    <t>Rizhao West - Linyi North</t>
  </si>
  <si>
    <t>Rizhao - Saihan</t>
  </si>
  <si>
    <t>Rizhao West - Shenyang</t>
  </si>
  <si>
    <t>Rizhao - Shenyang</t>
  </si>
  <si>
    <t>Rizhao - Sihui</t>
  </si>
  <si>
    <t>Rizhao West - Taian Shandong</t>
  </si>
  <si>
    <t>Rizhao West - Taishan Shandong</t>
  </si>
  <si>
    <t>Rizhao - Taian Shandong</t>
  </si>
  <si>
    <t>Rizhao - Tianxin</t>
  </si>
  <si>
    <t>Rizhao West - Weihai</t>
  </si>
  <si>
    <t>Rizhao West - Weihai North</t>
  </si>
  <si>
    <t>Rizhao - Weihai</t>
  </si>
  <si>
    <t>Rizhao - Xigu</t>
  </si>
  <si>
    <t>Rizhao - Xihu</t>
  </si>
  <si>
    <t>Rizhao - Xishui</t>
  </si>
  <si>
    <t>Rizhao West - Zhengzhou East</t>
  </si>
  <si>
    <t>Rizhao - Zhengzhou</t>
  </si>
  <si>
    <t>China, Ruijin</t>
  </si>
  <si>
    <t>Ruijin - Changsha</t>
  </si>
  <si>
    <t>Ruijin - Changsha South</t>
  </si>
  <si>
    <t>Ruijin - Hangzhou</t>
  </si>
  <si>
    <t>Ruijin - Hangzhou East</t>
  </si>
  <si>
    <t>Ruijin - Hunan</t>
  </si>
  <si>
    <t>Ruijin - Tianxin</t>
  </si>
  <si>
    <t>Ruijin - Xihu</t>
  </si>
  <si>
    <t>Ruijin - Zhejiang</t>
  </si>
  <si>
    <t>Saihan - Enping</t>
  </si>
  <si>
    <t>China, Loudi</t>
  </si>
  <si>
    <t>Saihan - Loudi</t>
  </si>
  <si>
    <t>Saihan - Xiangtan</t>
  </si>
  <si>
    <t>China, Yangzhou</t>
  </si>
  <si>
    <t>Saihan - Yangzhou</t>
  </si>
  <si>
    <t>China, Zhangjiagang</t>
  </si>
  <si>
    <t>Saihan - Zhangjiagang</t>
  </si>
  <si>
    <t>China, Shache</t>
  </si>
  <si>
    <t>Bachu - Hami</t>
  </si>
  <si>
    <t>Shache - Hami</t>
  </si>
  <si>
    <t>Shandan - Jiuquan</t>
  </si>
  <si>
    <t>Shandong - Changzhou</t>
  </si>
  <si>
    <t>Qingzhou - Jinan</t>
  </si>
  <si>
    <t>Zaozhuang - Qingdao</t>
  </si>
  <si>
    <t>Zaozhuang - Qingdao North</t>
  </si>
  <si>
    <t>Qufu East - Zhengzhou East</t>
  </si>
  <si>
    <t>Zaozhuang - Zhengzhou East</t>
  </si>
  <si>
    <t>Shandong - Zibo</t>
  </si>
  <si>
    <t>Shanghai Hongqiao - Xuancheng</t>
  </si>
  <si>
    <t>Shanghai Hongqiao - Changle East</t>
  </si>
  <si>
    <t>Shanghai Hongqiao - Minqing North</t>
  </si>
  <si>
    <t>Shanghai West - Hangzhou</t>
  </si>
  <si>
    <t>Shanghai Hongqiao - Hengshui North</t>
  </si>
  <si>
    <t>Shanghai Hongqiao - Yingtan North</t>
  </si>
  <si>
    <t>Shanghai Hongqiao - Guannan</t>
  </si>
  <si>
    <t>Shanghai Hongqiao - Guanyun</t>
  </si>
  <si>
    <t>Shanghai West - Guannan</t>
  </si>
  <si>
    <t>Shanghai West - Guanyun</t>
  </si>
  <si>
    <t>Shanghai - Guannan</t>
  </si>
  <si>
    <t>Shanghai - Guanyun</t>
  </si>
  <si>
    <t>Shanghai - Miluo</t>
  </si>
  <si>
    <t>Shanghai - Mingxi</t>
  </si>
  <si>
    <t>Shanghai West - Qingdao West</t>
  </si>
  <si>
    <t>China, Qingyuan</t>
  </si>
  <si>
    <t>Shanghai Hongqiao - Taihedong</t>
  </si>
  <si>
    <t>Shanghai - Qingyuan</t>
  </si>
  <si>
    <t>Shanghai - Saihan</t>
  </si>
  <si>
    <t>Shanghai - Shuangliu</t>
  </si>
  <si>
    <t>Shanghai Hongqiao - Suqian</t>
  </si>
  <si>
    <t>Shanghai West - Suqian</t>
  </si>
  <si>
    <t>Shanghai - Suqian</t>
  </si>
  <si>
    <t>Shanghai - Taian</t>
  </si>
  <si>
    <t>Shanghai - Tianxin</t>
  </si>
  <si>
    <t>Shanghai - Wenjiang</t>
  </si>
  <si>
    <t>Shanghai Hongqiao - Yueqing East</t>
  </si>
  <si>
    <t>Shanghai Hongqiao - Xiangyang East</t>
  </si>
  <si>
    <t>Shanghai - Xigu</t>
  </si>
  <si>
    <t>Shanghai - Xihu</t>
  </si>
  <si>
    <t>Shanghai Hongqiao - Xinyang East</t>
  </si>
  <si>
    <t>Shanghai - Xinyang East</t>
  </si>
  <si>
    <t>China, Xinzhou</t>
  </si>
  <si>
    <t>Shanghai - Xinzhou Shanxi</t>
  </si>
  <si>
    <t>Shanghai - Xinzhou</t>
  </si>
  <si>
    <t>Shanghai - Xishui</t>
  </si>
  <si>
    <t>Shanghai - Xuanzhou</t>
  </si>
  <si>
    <t>Shanghai - Xunxian</t>
  </si>
  <si>
    <t>Shanghai - Yangchun</t>
  </si>
  <si>
    <t>China, Yangshuo</t>
  </si>
  <si>
    <t>Shanghai Hongqiao - Yongshou West</t>
  </si>
  <si>
    <t>Shanghai - Yangshuo</t>
  </si>
  <si>
    <t>Shanghai Hongqiao - Yangzhou East</t>
  </si>
  <si>
    <t>Shanghai West - Yangzhou East</t>
  </si>
  <si>
    <t>Shanghai - Yangzhou East</t>
  </si>
  <si>
    <t>Shanghai Hongqiao - Ningxian</t>
  </si>
  <si>
    <t>Shanghai Hongqiao - Yinchuan</t>
  </si>
  <si>
    <t>Shanghai - Yinchuan</t>
  </si>
  <si>
    <t>Shanghai Hongqiao - Zhengzhou Hangkonggang</t>
  </si>
  <si>
    <t>Shangqiu South - Xuancheng</t>
  </si>
  <si>
    <t>Shangqiu - Xuancheng</t>
  </si>
  <si>
    <t>Shangqiu - Binhai</t>
  </si>
  <si>
    <t>Shangqiu - Tanggu</t>
  </si>
  <si>
    <t>Shangqiu - Changzhi</t>
  </si>
  <si>
    <t>Shangqiu - Changzhi South</t>
  </si>
  <si>
    <t>Shangqiu - Chongqing</t>
  </si>
  <si>
    <t>Shangqiu - Chongqing North</t>
  </si>
  <si>
    <t>Shangqiu - Chongqing West</t>
  </si>
  <si>
    <t>Shangqiu - Guangxi</t>
  </si>
  <si>
    <t>Shangqiu - Hangzhou West</t>
  </si>
  <si>
    <t>Shangqiu - Hebei</t>
  </si>
  <si>
    <t>Shangqiu South - Hefei</t>
  </si>
  <si>
    <t>Shangqiu - Hefei</t>
  </si>
  <si>
    <t>Shangqiu - Hefei South</t>
  </si>
  <si>
    <t>Shangqiu - Heilongjiang</t>
  </si>
  <si>
    <t>Shangqiu - Henan</t>
  </si>
  <si>
    <t>Shangqiu - Huangshan</t>
  </si>
  <si>
    <t>Shangqiu - Huangshan North</t>
  </si>
  <si>
    <t>Shangqiu - Hubei</t>
  </si>
  <si>
    <t>Shangqiu - Hunan</t>
  </si>
  <si>
    <t>Shangqiu - Jiangning</t>
  </si>
  <si>
    <t>Shangqiu - Jiangxi</t>
  </si>
  <si>
    <t>Shangqiu - Jiangzhou</t>
  </si>
  <si>
    <t>Shangqiu - Jiaocheng</t>
  </si>
  <si>
    <t>Shangqiu - Jiaxiang</t>
  </si>
  <si>
    <t>Shangqiu - Mingxi</t>
  </si>
  <si>
    <t>Shangqiu South - Nanchang</t>
  </si>
  <si>
    <t>Shangqiu - Nanchang</t>
  </si>
  <si>
    <t>Shangqiu - Nanchang West</t>
  </si>
  <si>
    <t>Shangqiu - Ningbo</t>
  </si>
  <si>
    <t>Shangqiu - Saihan</t>
  </si>
  <si>
    <t>Shangqiu - Shaanxi</t>
  </si>
  <si>
    <t>Shangqiu - Shuangliu</t>
  </si>
  <si>
    <t>Shangqiu - Sichuan</t>
  </si>
  <si>
    <t>Shangqiu - Taizhou Jiangsu</t>
  </si>
  <si>
    <t>Shangqiu - Tianxin</t>
  </si>
  <si>
    <t>China, Tongling</t>
  </si>
  <si>
    <t>Shangqiu - Tongling</t>
  </si>
  <si>
    <t>Shangqiu - Tulufan</t>
  </si>
  <si>
    <t>Shangqiu - Turpan</t>
  </si>
  <si>
    <t>Shangqiu - Turpan North</t>
  </si>
  <si>
    <t>Shangqiu - Urumqi</t>
  </si>
  <si>
    <t>Shangqiu - Wenjiang</t>
  </si>
  <si>
    <t>Shangqiu - Wuxi</t>
  </si>
  <si>
    <t>Shangqiu - Wuxi East</t>
  </si>
  <si>
    <t>Shangqiu - Wuxi Jiangsu</t>
  </si>
  <si>
    <t>Shangqiu South - Xiamen North</t>
  </si>
  <si>
    <t>Shangqiu - Xiamen</t>
  </si>
  <si>
    <t>Shangqiu - Xiamen North</t>
  </si>
  <si>
    <t>Shangqiu - Xihu</t>
  </si>
  <si>
    <t>Shangqiu - Xinjiang</t>
  </si>
  <si>
    <t>Shangqiu - Xinyang</t>
  </si>
  <si>
    <t>Shangqiu - Xinyang East</t>
  </si>
  <si>
    <t>Shangqiu - Langxi South</t>
  </si>
  <si>
    <t>Shangqiu - Xuanzhou</t>
  </si>
  <si>
    <t>Shangqiu - Xunxian</t>
  </si>
  <si>
    <t>Shangqiu South - Yancheng</t>
  </si>
  <si>
    <t>Shangqiu - Yancheng</t>
  </si>
  <si>
    <t>Shangqiu - Yiwu</t>
  </si>
  <si>
    <t>Shangqiu - Zhejiang</t>
  </si>
  <si>
    <t>Shangqiu - Zhengzhou Hangkonggang</t>
  </si>
  <si>
    <t>Shangrao - Anhui</t>
  </si>
  <si>
    <t>Shangrao - Funing</t>
  </si>
  <si>
    <t>Shangrao - Guzhang</t>
  </si>
  <si>
    <t>Shangrao - Hangzhou West</t>
  </si>
  <si>
    <t>Shangrao - Furongzhen</t>
  </si>
  <si>
    <t>Shangrao - Hedong</t>
  </si>
  <si>
    <t>Shangrao - Guangzhoubaiyun</t>
  </si>
  <si>
    <t>Shangrao - Huaxi</t>
  </si>
  <si>
    <t>Shangrao - Huiyang</t>
  </si>
  <si>
    <t>Shangrao - Huiyang District</t>
  </si>
  <si>
    <t>Shangrao - Huizhou</t>
  </si>
  <si>
    <t>Shangrao - Huizhou North</t>
  </si>
  <si>
    <t>Shangrao - Jiangbei</t>
  </si>
  <si>
    <t>Shangrao - Jiangjin</t>
  </si>
  <si>
    <t>Shangrao - Jiangning</t>
  </si>
  <si>
    <t>Shangrao - Jiangxia</t>
  </si>
  <si>
    <t>Shangrao - Jiangyuan</t>
  </si>
  <si>
    <t>Shangrao - Jiaocheng</t>
  </si>
  <si>
    <t>Shangrao - Jinan</t>
  </si>
  <si>
    <t>Shangrao - Liaoning</t>
  </si>
  <si>
    <t>Shangrao - Mingxi</t>
  </si>
  <si>
    <t>Shangrao - Nanning</t>
  </si>
  <si>
    <t>Shangrao - Nanning East</t>
  </si>
  <si>
    <t>Shangrao - Pujiangzhen</t>
  </si>
  <si>
    <t>Shangrao - Saihan</t>
  </si>
  <si>
    <t>Shangrao - Shaanxi</t>
  </si>
  <si>
    <t>Shangrao - Shenyang</t>
  </si>
  <si>
    <t>Shangrao - Shenyang South</t>
  </si>
  <si>
    <t>Shangrao - Shuangliu</t>
  </si>
  <si>
    <t>Shangrao - Jianxi</t>
  </si>
  <si>
    <t>Shangrao - Shunchang</t>
  </si>
  <si>
    <t>Shangrao - Sichuan</t>
  </si>
  <si>
    <t>Shangrao - Shanghai Songjiang</t>
  </si>
  <si>
    <t>Shangrao - Songjiang North</t>
  </si>
  <si>
    <t>Shangrao - Songjiang Shanghai</t>
  </si>
  <si>
    <t>Shangrao - Wenjiang</t>
  </si>
  <si>
    <t>Shangrao - Xihu</t>
  </si>
  <si>
    <t>Shangrao - Xinyu</t>
  </si>
  <si>
    <t>Shangrao - Xishui</t>
  </si>
  <si>
    <t>Shangri La - Chuxiong</t>
  </si>
  <si>
    <t>Shanhaiguan - Binhai</t>
  </si>
  <si>
    <t>Shanhaiguan - Binhai North</t>
  </si>
  <si>
    <t>Shanhaiguan - Binhai West</t>
  </si>
  <si>
    <t>Shanhaiguan - Dalian</t>
  </si>
  <si>
    <t>Shanhaiguan - Dalian North</t>
  </si>
  <si>
    <t>Shanhaiguan - Huludao</t>
  </si>
  <si>
    <t>Shanhaiguan - Huludao North</t>
  </si>
  <si>
    <t>Shanhaiguan - Tianjin</t>
  </si>
  <si>
    <t>Shanhaiguan - Tianjin West</t>
  </si>
  <si>
    <t>China, Tieling</t>
  </si>
  <si>
    <t>Shanhaiguan - Tieling</t>
  </si>
  <si>
    <t>Shanhaiguan - Yijiang</t>
  </si>
  <si>
    <t>Shantou South - Boluo</t>
  </si>
  <si>
    <t>Shantou South - Luofushan</t>
  </si>
  <si>
    <t>Shantou - Boluo</t>
  </si>
  <si>
    <t>Shantou - Luofushan</t>
  </si>
  <si>
    <t>Shantou - Chenzhou</t>
  </si>
  <si>
    <t>Shantou - Chenzhou West</t>
  </si>
  <si>
    <t>Shantou South - Guangzhoubaiyun</t>
  </si>
  <si>
    <t>Shantou - Huaxi</t>
  </si>
  <si>
    <t>Shantou South - Huidong</t>
  </si>
  <si>
    <t>Shantou - Huidong</t>
  </si>
  <si>
    <t>Shantou - Huiyang District</t>
  </si>
  <si>
    <t>Shantou - Jiangbei</t>
  </si>
  <si>
    <t>Shantou - Jiangjin</t>
  </si>
  <si>
    <t>Shantou - Jiangxia</t>
  </si>
  <si>
    <t>Shantou - Jiangyuan</t>
  </si>
  <si>
    <t>Shantou - Jiaocheng</t>
  </si>
  <si>
    <t>Shantou - Saihan</t>
  </si>
  <si>
    <t>Shantou - Tianxin</t>
  </si>
  <si>
    <t>Shantou South - Xintang</t>
  </si>
  <si>
    <t>Shantou South - Zengcheng</t>
  </si>
  <si>
    <t>Shantou - Xintang</t>
  </si>
  <si>
    <t>Shantou - Zengcheng</t>
  </si>
  <si>
    <t>Shaoguan - Boluo</t>
  </si>
  <si>
    <t>Shaoguan East - Chenzhou</t>
  </si>
  <si>
    <t>Shaoguan - Chenzhou</t>
  </si>
  <si>
    <t>Shaoguan - Chenzhou West</t>
  </si>
  <si>
    <t>Shaoguan - Dongcheng South</t>
  </si>
  <si>
    <t>Shaoguan - Duanzhou</t>
  </si>
  <si>
    <t>Shaoguan East - Guangzhoubaiyun</t>
  </si>
  <si>
    <t>Shaoguan - Guangzhoubaiyun</t>
  </si>
  <si>
    <t>Shaoguan - Huaxi</t>
  </si>
  <si>
    <t>Shaoguan - Hubei</t>
  </si>
  <si>
    <t>Shaoguan - Humen</t>
  </si>
  <si>
    <t>Shaoguan - Humen Town</t>
  </si>
  <si>
    <t>Shaoguan - Hunan</t>
  </si>
  <si>
    <t>Shaoguan - Jiangbei</t>
  </si>
  <si>
    <t>Shaoguan - Jiangjin</t>
  </si>
  <si>
    <t>Shaoguan - Jiangxi</t>
  </si>
  <si>
    <t>Shaoguan - Jiangxia</t>
  </si>
  <si>
    <t>Shaoguan - Jiangyuan</t>
  </si>
  <si>
    <t>Shaoguan - Jiaocheng</t>
  </si>
  <si>
    <t>Shaoguan - Saihan</t>
  </si>
  <si>
    <t>Shaoguan - Shaanxi</t>
  </si>
  <si>
    <t>Shaoguan East - Shangrao</t>
  </si>
  <si>
    <t>Shaoguan - Shangrao</t>
  </si>
  <si>
    <t>Shaoguan - Tianxin</t>
  </si>
  <si>
    <t>Shaoguan East - Xinyang</t>
  </si>
  <si>
    <t>Shaoguan - Xinyang</t>
  </si>
  <si>
    <t>Shaoguan - Xinyang East</t>
  </si>
  <si>
    <t>Shaoguan East - Yueyang</t>
  </si>
  <si>
    <t>Shaoguan - Yueyang</t>
  </si>
  <si>
    <t>Shaoguan - Yueyang East</t>
  </si>
  <si>
    <t>Shaoguan - Xintang</t>
  </si>
  <si>
    <t>Shaoguan - Zengcheng</t>
  </si>
  <si>
    <t>Shaoshan South - Beijing West</t>
  </si>
  <si>
    <t>Shaoshan - Beijing</t>
  </si>
  <si>
    <t>Shaoshan South - Guangzhou South</t>
  </si>
  <si>
    <t>Shaoshan - Guangzhou</t>
  </si>
  <si>
    <t>Shaoshan South - Hangzhou East</t>
  </si>
  <si>
    <t>Shaoshan South - Hangzhou South</t>
  </si>
  <si>
    <t>Shaoshan - Hangzhou</t>
  </si>
  <si>
    <t>Shaoshan South - Huaihua South</t>
  </si>
  <si>
    <t>Shaoshan - Huaihua</t>
  </si>
  <si>
    <t>Shaoshan - Jiaocheng</t>
  </si>
  <si>
    <t>Shaoshan South - Kunming South</t>
  </si>
  <si>
    <t>Shaoshan - Kunming</t>
  </si>
  <si>
    <t>Shaoshan - Saihan</t>
  </si>
  <si>
    <t>Shaoshan South - Shaoyang</t>
  </si>
  <si>
    <t>Shaoshan - Shaoyang</t>
  </si>
  <si>
    <t>Shaoshan - Tianxin</t>
  </si>
  <si>
    <t>Shaoshan - Xihu</t>
  </si>
  <si>
    <t>Shaoshan - Yunnan</t>
  </si>
  <si>
    <t>Shaoshan South - Zhangjiajie West</t>
  </si>
  <si>
    <t>Shaoshan - Zhangjiajie</t>
  </si>
  <si>
    <t>Shaoshan - Zhejiang</t>
  </si>
  <si>
    <t>Shaoyang - Chenzhou</t>
  </si>
  <si>
    <t>Shaoyang - Chenzhou West</t>
  </si>
  <si>
    <t>Shaoyang - Chongqing</t>
  </si>
  <si>
    <t>Shaoyang - Chongqing North</t>
  </si>
  <si>
    <t>Shaoyang - Chongqing West</t>
  </si>
  <si>
    <t>Shaoyang - Guangzhou South</t>
  </si>
  <si>
    <t>Shaoyang - Henan</t>
  </si>
  <si>
    <t>Shaoyang - Huaihua</t>
  </si>
  <si>
    <t>Shaoyang - Huaihua South</t>
  </si>
  <si>
    <t>Shaoyang - Guangzhoubaiyun</t>
  </si>
  <si>
    <t>Shaoyang - Huaxi</t>
  </si>
  <si>
    <t>Shaoyang - Humen</t>
  </si>
  <si>
    <t>Shaoyang - Humen Town</t>
  </si>
  <si>
    <t>Shaoyang - Jiangning</t>
  </si>
  <si>
    <t>Shaoyang - Jiangsu</t>
  </si>
  <si>
    <t>Shaoyang - Jiaocheng</t>
  </si>
  <si>
    <t>Shaoyang - Jiaxiang</t>
  </si>
  <si>
    <t>Shaoyang - Kunming</t>
  </si>
  <si>
    <t>Shaoyang - Kunming South</t>
  </si>
  <si>
    <t>Shaoyang - Mingxi</t>
  </si>
  <si>
    <t>Shaoyang - Nanchang</t>
  </si>
  <si>
    <t>Shaoyang - Nanchang West</t>
  </si>
  <si>
    <t>Shaoyang - Nanjing</t>
  </si>
  <si>
    <t>Shaoyang - Nanjing South</t>
  </si>
  <si>
    <t>Shaoyang - Nanning</t>
  </si>
  <si>
    <t>Shaoyang - Nanning East</t>
  </si>
  <si>
    <t>Shaoyang - Pujiangzhen</t>
  </si>
  <si>
    <t>Shaoyang - Saihan</t>
  </si>
  <si>
    <t>Shaoyang - Shanghai</t>
  </si>
  <si>
    <t>Shaoyang - Shanghai Hongqiao</t>
  </si>
  <si>
    <t>Shaoyang - Shanghai South</t>
  </si>
  <si>
    <t>Shaoyang - Suzhou</t>
  </si>
  <si>
    <t>Shaoyang - Tianxin</t>
  </si>
  <si>
    <t>Shaoyang - Xihu</t>
  </si>
  <si>
    <t>Shaoyang - Yunnan</t>
  </si>
  <si>
    <t>Shaoyang - Zhangjiajie</t>
  </si>
  <si>
    <t>Shaoyang - Zhangjiajie West</t>
  </si>
  <si>
    <t>Shaoyang - Zhejiang</t>
  </si>
  <si>
    <t>China, Shekou</t>
  </si>
  <si>
    <t>Shekou - Hengqin Island</t>
  </si>
  <si>
    <t>Shekou - Yangchun</t>
  </si>
  <si>
    <t>China, Shenmu</t>
  </si>
  <si>
    <t>Shenmu - Xian</t>
  </si>
  <si>
    <t>Shenyang North - Anyang</t>
  </si>
  <si>
    <t>Shenyang North - Anyang East</t>
  </si>
  <si>
    <t>Shenyang - Anyang</t>
  </si>
  <si>
    <t>Shenyang - Anyang East</t>
  </si>
  <si>
    <t>Shenyang North - Baoding</t>
  </si>
  <si>
    <t>Shenyang South - Wulongbei East</t>
  </si>
  <si>
    <t>Shenyang - Baoding</t>
  </si>
  <si>
    <t>Shenyang North - Hangzhou West</t>
  </si>
  <si>
    <t>Shenyang North - Heze</t>
  </si>
  <si>
    <t>Shenyang North - Heze East Railway Station</t>
  </si>
  <si>
    <t>Shenyang - Heze</t>
  </si>
  <si>
    <t>Shenyang North - Lianyungang</t>
  </si>
  <si>
    <t>Shenyang - Lianyungang</t>
  </si>
  <si>
    <t>Shenyang North - Songyuan</t>
  </si>
  <si>
    <t>Shenyang - Songyuan</t>
  </si>
  <si>
    <t>Shenyang North - Taian</t>
  </si>
  <si>
    <t>Shenyang South - Taian</t>
  </si>
  <si>
    <t>Shenyang - Taian</t>
  </si>
  <si>
    <t>Shenyang North - Weifang</t>
  </si>
  <si>
    <t>Shenyang North - Weifang North</t>
  </si>
  <si>
    <t>Shenyang - Weifang</t>
  </si>
  <si>
    <t>Shenyang - Weifang North</t>
  </si>
  <si>
    <t>Shenyang North - Xining</t>
  </si>
  <si>
    <t>Shenyang - Yichun Heilongjiang</t>
  </si>
  <si>
    <t>Futian Shenzhen - Dongguan South</t>
  </si>
  <si>
    <t>Shenzhen North - Dongguan South</t>
  </si>
  <si>
    <t>Shenzhen North - Changle East</t>
  </si>
  <si>
    <t>China, Fuqing</t>
  </si>
  <si>
    <t>Shenzhen North - Pingtan</t>
  </si>
  <si>
    <t>Shenzhen North - Ganxian North</t>
  </si>
  <si>
    <t>Shenzhen - Ganxian North</t>
  </si>
  <si>
    <t>Futian Shenzhen - Hefei South</t>
  </si>
  <si>
    <t>Shenzhen - Hong Kong Island</t>
  </si>
  <si>
    <t>Shenzhen North - Gucheng North</t>
  </si>
  <si>
    <t>Shenzhen North - Liuzhou</t>
  </si>
  <si>
    <t>China, Meizhou</t>
  </si>
  <si>
    <t>Shenzhen North - Shejiang North</t>
  </si>
  <si>
    <t>Futian Shenzhen - Nanchang West</t>
  </si>
  <si>
    <t>Shenzhen North - Xianning North</t>
  </si>
  <si>
    <t>Shenzhen East - Yuncheng</t>
  </si>
  <si>
    <t>Shenzhen - Yuncheng</t>
  </si>
  <si>
    <t>Sichuan - Anshun</t>
  </si>
  <si>
    <t>Sichuan - Anyang</t>
  </si>
  <si>
    <t>Sichuan - Baoding</t>
  </si>
  <si>
    <t>Sichuan - Beidaihe</t>
  </si>
  <si>
    <t>Sichuan - Dezhou</t>
  </si>
  <si>
    <t>Sichuan - Duyun</t>
  </si>
  <si>
    <t>Sichuan - Fuyang Anhui</t>
  </si>
  <si>
    <t>Sichuan - Guzhang</t>
  </si>
  <si>
    <t>Sichuan - Hanzhong</t>
  </si>
  <si>
    <t>China, Hechi</t>
  </si>
  <si>
    <t>Sichuan - Hechi</t>
  </si>
  <si>
    <t>Sichuan - Hengqin Island</t>
  </si>
  <si>
    <t>Sichuan - Heze</t>
  </si>
  <si>
    <t>Sichuan - Hong Kong Island</t>
  </si>
  <si>
    <t>Sichuan - Huainan</t>
  </si>
  <si>
    <t>Sichuan - Huangshan</t>
  </si>
  <si>
    <t>Sichuan - Huaxi</t>
  </si>
  <si>
    <t>Sichuan - Huludao</t>
  </si>
  <si>
    <t>Sichuan - Jiangning</t>
  </si>
  <si>
    <t>Sichuan - Jiangzhou</t>
  </si>
  <si>
    <t>Sichuan - Jiaocheng</t>
  </si>
  <si>
    <t>Sichuan - Jiaxiang</t>
  </si>
  <si>
    <t>Sichuan - Jinhua</t>
  </si>
  <si>
    <t>Sichuan - Kaifeng</t>
  </si>
  <si>
    <t>Sichuan - Liancheng</t>
  </si>
  <si>
    <t>Sichuan - Liupanshui</t>
  </si>
  <si>
    <t>Sichuan - Longchang</t>
  </si>
  <si>
    <t>Sichuan - Maoming</t>
  </si>
  <si>
    <t>China, Meishan</t>
  </si>
  <si>
    <t>Sichuan - Meishan</t>
  </si>
  <si>
    <t>Sichuan - Mingxi</t>
  </si>
  <si>
    <t>Sichuan - Panjin</t>
  </si>
  <si>
    <t>Sichuan - Pingxiang</t>
  </si>
  <si>
    <t>Sichuan - Pingyao</t>
  </si>
  <si>
    <t>Sichuan - Qujing</t>
  </si>
  <si>
    <t>Sichuan - Quzhou</t>
  </si>
  <si>
    <t>Sichuan - Rizhao</t>
  </si>
  <si>
    <t>Sichuan - Ruichang</t>
  </si>
  <si>
    <t>Sichuan - Saihan</t>
  </si>
  <si>
    <t>Sichuan - Shangqiu</t>
  </si>
  <si>
    <t>Sichuan - Shaoshan</t>
  </si>
  <si>
    <t>Sichuan - Shizhong</t>
  </si>
  <si>
    <t>Sichuan - Shuangliu</t>
  </si>
  <si>
    <t>China, Songpan</t>
  </si>
  <si>
    <t>Sichuan - Songpan</t>
  </si>
  <si>
    <t>Sichuan - Tianxin</t>
  </si>
  <si>
    <t>Sichuan - Weihai</t>
  </si>
  <si>
    <t>Sichuan - Xihu</t>
  </si>
  <si>
    <t>Sichuan - Xinyi</t>
  </si>
  <si>
    <t>Sichuan - Xishui</t>
  </si>
  <si>
    <t>Sichuan - Xuzhou</t>
  </si>
  <si>
    <t>Sichuan - Yangchun</t>
  </si>
  <si>
    <t>Sichuan - Yichang</t>
  </si>
  <si>
    <t>Sichuan - Yichun Jiangxi</t>
  </si>
  <si>
    <t>Sichuan - Yijiang</t>
  </si>
  <si>
    <t>China, Yuxi</t>
  </si>
  <si>
    <t>Sichuan - Yuxi</t>
  </si>
  <si>
    <t>Sihui - Beijing</t>
  </si>
  <si>
    <t>Sihui - Guangxi</t>
  </si>
  <si>
    <t>Sihui - Hangzhou</t>
  </si>
  <si>
    <t>Sihui - Heshan</t>
  </si>
  <si>
    <t>Sihui - Heze</t>
  </si>
  <si>
    <t>Sihui - Hubei</t>
  </si>
  <si>
    <t>Sihui - Jiangxi</t>
  </si>
  <si>
    <t>Sihui - Jiaocheng</t>
  </si>
  <si>
    <t>Sihui - Jinan</t>
  </si>
  <si>
    <t>Sihui - Linyi</t>
  </si>
  <si>
    <t>Sihui - Mingxi</t>
  </si>
  <si>
    <t>Sihui - Nanchang</t>
  </si>
  <si>
    <t>Sihui - Nanning</t>
  </si>
  <si>
    <t>Sihui - Qingdao</t>
  </si>
  <si>
    <t>Sihui - Rizhao</t>
  </si>
  <si>
    <t>Sihui - Shangqiu</t>
  </si>
  <si>
    <t>Sihui - Shenzhen</t>
  </si>
  <si>
    <t>Sihui - Suzhou</t>
  </si>
  <si>
    <t>Sihui - Taian Shandong</t>
  </si>
  <si>
    <t>Sihui - Weifang</t>
  </si>
  <si>
    <t>Sihui - Weihai</t>
  </si>
  <si>
    <t>Sihui - Wuhan</t>
  </si>
  <si>
    <t>Sihui - Xihu</t>
  </si>
  <si>
    <t>Sihui - Yantai</t>
  </si>
  <si>
    <t>Sihui - Zhejiang</t>
  </si>
  <si>
    <t>Siping East - Qiqihar South</t>
  </si>
  <si>
    <t>Siping - Qiqihar</t>
  </si>
  <si>
    <t>Shanghai Songjiang - Maanshan East</t>
  </si>
  <si>
    <t>Shanghai Songjiang - Suzhou East Anhui</t>
  </si>
  <si>
    <t>Shanghai Songjiang - Anyang East</t>
  </si>
  <si>
    <t>Songjiang Shanghai - Anyang</t>
  </si>
  <si>
    <t>China, Dafeng</t>
  </si>
  <si>
    <t>Shanghai Songjiang - Yanchengdafeng</t>
  </si>
  <si>
    <t>Songjiang Shanghai - Dafeng</t>
  </si>
  <si>
    <t>Shanghai Songjiang - Enshi</t>
  </si>
  <si>
    <t>Songjiang North - Laifeng</t>
  </si>
  <si>
    <t>Songjiang Shanghai - Enshi</t>
  </si>
  <si>
    <t>Shanghai Songjiang - Fuqing</t>
  </si>
  <si>
    <t>Songjiang Shanghai - Fuqing</t>
  </si>
  <si>
    <t>China, Fushun</t>
  </si>
  <si>
    <t>Songjiang North - Fushun North</t>
  </si>
  <si>
    <t>Songjiang Shanghai - Fushun</t>
  </si>
  <si>
    <t>Songjiang Shanghai - Maanshan</t>
  </si>
  <si>
    <t>Songjiang North - Qiqihar</t>
  </si>
  <si>
    <t>Songjiang Shanghai - Qiqihar</t>
  </si>
  <si>
    <t>Shanghai Songjiang - Shangqiu</t>
  </si>
  <si>
    <t>Songjiang Shanghai - Shangqiu</t>
  </si>
  <si>
    <t>Songjiang North - Shiyan</t>
  </si>
  <si>
    <t>Songjiang Shanghai - Shiyan</t>
  </si>
  <si>
    <t>Shanghai Songjiang - Yancheng</t>
  </si>
  <si>
    <t>Songjiang Shanghai - Yancheng</t>
  </si>
  <si>
    <t>Shanghai Songjiang - Yangzhou East</t>
  </si>
  <si>
    <t>Songjiang Shanghai - Yangzhou</t>
  </si>
  <si>
    <t>China, Yongqiao</t>
  </si>
  <si>
    <t>Songjiang Shanghai - Yongqiao</t>
  </si>
  <si>
    <t>Shanghai Songjiang - Yuncheng North</t>
  </si>
  <si>
    <t>Songjiang Shanghai - Yuncheng</t>
  </si>
  <si>
    <t>Shanghai Songjiang - Zhangjiagang</t>
  </si>
  <si>
    <t>Songjiang Shanghai - Zhangjiagang</t>
  </si>
  <si>
    <t>Shanghai Songjiang - Zhangzhou</t>
  </si>
  <si>
    <t>Songjiang Shanghai - Zhangzhou Fujian</t>
  </si>
  <si>
    <t>Songjiang North - Zhuzhou</t>
  </si>
  <si>
    <t>Songjiang Shanghai - Zhuzhou</t>
  </si>
  <si>
    <t>Suifenhe - Harbin West</t>
  </si>
  <si>
    <t>Suifenhe - Shenyang</t>
  </si>
  <si>
    <t>Suzhou - Pingliang</t>
  </si>
  <si>
    <t>Suzhou North - Xian West</t>
  </si>
  <si>
    <t>Taian Shandong - Qingdao West</t>
  </si>
  <si>
    <t>Taiyuan South - Changzhi South</t>
  </si>
  <si>
    <t>Taiyuan South - Xian West</t>
  </si>
  <si>
    <t>China, Taizhou Zhejiang</t>
  </si>
  <si>
    <t>Taizhou Zhejiang - Anhui</t>
  </si>
  <si>
    <t>Taizhou - Xuancheng</t>
  </si>
  <si>
    <t>Taizhou Zhejiang - Xuanzhou</t>
  </si>
  <si>
    <t>Tangshan - Heilongjiang</t>
  </si>
  <si>
    <t>China, Fengshun</t>
  </si>
  <si>
    <t>Tianjin - Fengshun</t>
  </si>
  <si>
    <t>Tianjin - Lutai</t>
  </si>
  <si>
    <t>Tianjin - Fuxin</t>
  </si>
  <si>
    <t>Tianjin - Fuxin South</t>
  </si>
  <si>
    <t>Tianjin West - Guangyuan</t>
  </si>
  <si>
    <t>Tianjin - Guangyuan</t>
  </si>
  <si>
    <t>Tianjin West - Huashan North</t>
  </si>
  <si>
    <t>Tianjin - Huashan</t>
  </si>
  <si>
    <t>Tianjin South - Jinhua</t>
  </si>
  <si>
    <t>Tianjin West - Jinhua South</t>
  </si>
  <si>
    <t>Tianjin - Jinhua</t>
  </si>
  <si>
    <t>Tianjin - Jinhua South</t>
  </si>
  <si>
    <t>China, Sanming</t>
  </si>
  <si>
    <t>Tianjin South - Sanming North</t>
  </si>
  <si>
    <t>Tianjin - Sanming</t>
  </si>
  <si>
    <t>Tianjin West - Tianshui South</t>
  </si>
  <si>
    <t>Tianjin - Tianshui</t>
  </si>
  <si>
    <t>China, Ulanhot</t>
  </si>
  <si>
    <t>Tianjin - Ulanhot</t>
  </si>
  <si>
    <t>Tianjin South - Wuwei</t>
  </si>
  <si>
    <t>Tianjin West - Wuwei</t>
  </si>
  <si>
    <t>Tianjin - Wuwei Gansu</t>
  </si>
  <si>
    <t>Tianjin - Zhuzhou</t>
  </si>
  <si>
    <t>Tianshui - Jiaocheng</t>
  </si>
  <si>
    <t>Tianshui South - Jiuquan South</t>
  </si>
  <si>
    <t>Tianshui - Jiuquan</t>
  </si>
  <si>
    <t>Tianshui South - Nanchang West</t>
  </si>
  <si>
    <t>Tianshui - Nanchang</t>
  </si>
  <si>
    <t>Tianshui - Shandong</t>
  </si>
  <si>
    <t>Tianshui South - Suzhou</t>
  </si>
  <si>
    <t>Tianshui South - Suzhou North</t>
  </si>
  <si>
    <t>Tianshui - Suzhou</t>
  </si>
  <si>
    <t>Tianshui South - Wuhan</t>
  </si>
  <si>
    <t>Tianshui - Wuhan</t>
  </si>
  <si>
    <t>Tianxin - Beidaihe</t>
  </si>
  <si>
    <t>China, Fuling</t>
  </si>
  <si>
    <t>Tianxin - Fuling</t>
  </si>
  <si>
    <t>Tianxin - Handan</t>
  </si>
  <si>
    <t>Tianxin - Huashan</t>
  </si>
  <si>
    <t>Tianxin - Kaili City</t>
  </si>
  <si>
    <t>Tianxin - Leshan</t>
  </si>
  <si>
    <t>Tianxin - Liupanshui</t>
  </si>
  <si>
    <t>Tianxin - Pingyao</t>
  </si>
  <si>
    <t>Tianxin - Qinghai</t>
  </si>
  <si>
    <t>China, Sanya</t>
  </si>
  <si>
    <t>Tianxin - Sanya</t>
  </si>
  <si>
    <t>Tianxin - Shangqiu</t>
  </si>
  <si>
    <t>China, Shifeng</t>
  </si>
  <si>
    <t>Tianxin - Shifeng</t>
  </si>
  <si>
    <t>Tianxin - Urumqi</t>
  </si>
  <si>
    <t>Tianxin - Xining</t>
  </si>
  <si>
    <t>Tianxin - Xinjiang</t>
  </si>
  <si>
    <t>Tianxin - Yuelu</t>
  </si>
  <si>
    <t>Tieling - Luoyang</t>
  </si>
  <si>
    <t>Tieling - Taiyuan</t>
  </si>
  <si>
    <t>Tieling - Taiyuan Shanxi</t>
  </si>
  <si>
    <t>China, Kailu</t>
  </si>
  <si>
    <t>Tongliao - Kailu</t>
  </si>
  <si>
    <t>Tongliao - Ulanhot</t>
  </si>
  <si>
    <t>Tongliao - Yakeshi</t>
  </si>
  <si>
    <t>Tongling - Huiyang</t>
  </si>
  <si>
    <t>Tongling - Huiyang District</t>
  </si>
  <si>
    <t>Tongling - Huizhou</t>
  </si>
  <si>
    <t>Tongling - Huizhou North</t>
  </si>
  <si>
    <t>Tongling - Jiangbei</t>
  </si>
  <si>
    <t>Tongling - Jiangjin</t>
  </si>
  <si>
    <t>Tongling - Jiangxia</t>
  </si>
  <si>
    <t>Tongling - Jiangyuan</t>
  </si>
  <si>
    <t>Tongling - Quzhou</t>
  </si>
  <si>
    <t>Tongling - Rizhao</t>
  </si>
  <si>
    <t>Tongling - Rizhao West</t>
  </si>
  <si>
    <t>Tongling - Jianxi</t>
  </si>
  <si>
    <t>Tongling - Shunchang</t>
  </si>
  <si>
    <t>China, Tongren</t>
  </si>
  <si>
    <t>Tongren - Kunming</t>
  </si>
  <si>
    <t>Tongren - Kunming South</t>
  </si>
  <si>
    <t>Tongren - Leshan</t>
  </si>
  <si>
    <t>Tongren - Shuangliu</t>
  </si>
  <si>
    <t>Tongren - Wenjiang</t>
  </si>
  <si>
    <t>Tongren - Yunnan</t>
  </si>
  <si>
    <t>China, Tongzhou</t>
  </si>
  <si>
    <t>Tongzhou - Beijing</t>
  </si>
  <si>
    <t>Turpan North - Beijing West</t>
  </si>
  <si>
    <t>Turpan - Beijing</t>
  </si>
  <si>
    <t>Turpan North - Chongqing West</t>
  </si>
  <si>
    <t>Turpan - Chongqing</t>
  </si>
  <si>
    <t>Tulufan - Yumen</t>
  </si>
  <si>
    <t>Turpan North - Yumen</t>
  </si>
  <si>
    <t>China, Ulanqab</t>
  </si>
  <si>
    <t>China, Sonid Right Banner</t>
  </si>
  <si>
    <t>Jining South Inner Mongolia - Saihantala</t>
  </si>
  <si>
    <t>Ulanqab - Sonid Right Banner</t>
  </si>
  <si>
    <t>Urumqi - Guangyuan</t>
  </si>
  <si>
    <t>Urumqi - Luoyang</t>
  </si>
  <si>
    <t>Urumqi South - Tulufan</t>
  </si>
  <si>
    <t>Wanzhi - Jinta</t>
  </si>
  <si>
    <t>Wanzhi - Jiuquan</t>
  </si>
  <si>
    <t>Wanzhi - Qinghai</t>
  </si>
  <si>
    <t>Shandanmachang - Tianshui South</t>
  </si>
  <si>
    <t>Wanzhi - Tianshui</t>
  </si>
  <si>
    <t>Wanzhi - Turpan</t>
  </si>
  <si>
    <t>Shandanmachang - Menyuan</t>
  </si>
  <si>
    <t>Shandanmachang - Xining</t>
  </si>
  <si>
    <t>Wanzhi - Xining</t>
  </si>
  <si>
    <t>China, Wanzhou Chongqing</t>
  </si>
  <si>
    <t>Wanzhou Chongqing - Chongqing</t>
  </si>
  <si>
    <t>Wanzhou North - Chongqing North</t>
  </si>
  <si>
    <t>Wanzhou North - Chongqing West</t>
  </si>
  <si>
    <t>Wanzhou Chongqing - Jiaxiang</t>
  </si>
  <si>
    <t>Weifang North - Funing East</t>
  </si>
  <si>
    <t>Weifang - Beidaihe</t>
  </si>
  <si>
    <t>Weifang - Funing East</t>
  </si>
  <si>
    <t>Weifang - Changzhou</t>
  </si>
  <si>
    <t>Weifang - Changzhou North</t>
  </si>
  <si>
    <t>Weifang - Ganzhou</t>
  </si>
  <si>
    <t>Weifang - Huaian</t>
  </si>
  <si>
    <t>Weifang - Lianshui</t>
  </si>
  <si>
    <t>Weifang North - Qingdao West</t>
  </si>
  <si>
    <t>Weifang - Qingdao West</t>
  </si>
  <si>
    <t>Weifang - Taizhou Jiangsu</t>
  </si>
  <si>
    <t>Weifang North - Wuhu</t>
  </si>
  <si>
    <t>Weifang - Wuhu</t>
  </si>
  <si>
    <t>Weihai - Beidaihe</t>
  </si>
  <si>
    <t>Weihai - Funing East</t>
  </si>
  <si>
    <t>Weihai - Beijing West</t>
  </si>
  <si>
    <t>China, Fuyang</t>
  </si>
  <si>
    <t>Weihai - Fuyang</t>
  </si>
  <si>
    <t>Weihai - Fuyang Anhui</t>
  </si>
  <si>
    <t>China, Zhenjiang</t>
  </si>
  <si>
    <t>Weinan North - Zhenjiang South</t>
  </si>
  <si>
    <t>Weinan - Zhenjiang</t>
  </si>
  <si>
    <t>Wenjiang - Baoding</t>
  </si>
  <si>
    <t>Wenjiang - Hami</t>
  </si>
  <si>
    <t>Wenjiang - Kaifeng</t>
  </si>
  <si>
    <t>Wenjiang - Shuangliu</t>
  </si>
  <si>
    <t>Hankou - Fengjie</t>
  </si>
  <si>
    <t>Wuchang - Enshi</t>
  </si>
  <si>
    <t>Wuhan - Minqing North</t>
  </si>
  <si>
    <t>Wuchang - Hengshui</t>
  </si>
  <si>
    <t>Wuhan - Hengshui</t>
  </si>
  <si>
    <t>Wuhan - Hengshui North</t>
  </si>
  <si>
    <t>Wuchang - Heze</t>
  </si>
  <si>
    <t>Wuhan - Heze</t>
  </si>
  <si>
    <t>Wuhan - Heze East Railway Station</t>
  </si>
  <si>
    <t>China, Huangshi</t>
  </si>
  <si>
    <t>Wuchang - Huangshi North</t>
  </si>
  <si>
    <t>Wuchang - Kaifeng</t>
  </si>
  <si>
    <t>Wuchang - Kaili</t>
  </si>
  <si>
    <t>Wuhan - Kaili City</t>
  </si>
  <si>
    <t>Wuhan - Kaili South</t>
  </si>
  <si>
    <t>Hankou - Tianjin West</t>
  </si>
  <si>
    <t>Xiamen - Yanshi South Fujian</t>
  </si>
  <si>
    <t>Xiamen North - Hangzhou West</t>
  </si>
  <si>
    <t>Xiamen North - Huiyang</t>
  </si>
  <si>
    <t>Xiamen - Huiyang</t>
  </si>
  <si>
    <t>Xiamen - Huiyang District</t>
  </si>
  <si>
    <t>Xian South - Beijing West</t>
  </si>
  <si>
    <t>Xian North - Hangzhou West</t>
  </si>
  <si>
    <t>Xian - Jian Jiangxi</t>
  </si>
  <si>
    <t>Xian North - Qianwei</t>
  </si>
  <si>
    <t>Xian North - Qingyang</t>
  </si>
  <si>
    <t>Xian - Quanzhou</t>
  </si>
  <si>
    <t>Xian North - Xian West</t>
  </si>
  <si>
    <t>Xian - Xian West</t>
  </si>
  <si>
    <t>Xian North - Menyuan</t>
  </si>
  <si>
    <t>Xian North - Zhengzhou Hangkonggang</t>
  </si>
  <si>
    <t>Xian North - Zhengzhou West</t>
  </si>
  <si>
    <t>Xiangtan - Chongqing</t>
  </si>
  <si>
    <t>Xiangtan - Chongqing North</t>
  </si>
  <si>
    <t>Xiangyang East - Shijiazhuang</t>
  </si>
  <si>
    <t>Xiangyang - Shijiazhuang</t>
  </si>
  <si>
    <t>Xining - Huizhou</t>
  </si>
  <si>
    <t>Xinxiang East - Dalian North</t>
  </si>
  <si>
    <t>Xinxiang - Dalian</t>
  </si>
  <si>
    <t>Xinxiang East - Shijiazhuang</t>
  </si>
  <si>
    <t>Xinxiang - Shijiazhuang</t>
  </si>
  <si>
    <t>Xinxiang - Shijiazhuang North</t>
  </si>
  <si>
    <t>Xinyang East - Yantai South</t>
  </si>
  <si>
    <t>Xinyang - Yantai</t>
  </si>
  <si>
    <t>Xinyu - Beijing</t>
  </si>
  <si>
    <t>Xinyu - Beijing West</t>
  </si>
  <si>
    <t>Xuchang East - Hongdao</t>
  </si>
  <si>
    <t>Xuchang East - Qingdao</t>
  </si>
  <si>
    <t>Xuchang - Qingdao</t>
  </si>
  <si>
    <t>Xuchang - Qingdao North</t>
  </si>
  <si>
    <t>Xuzhou East - Ninghai</t>
  </si>
  <si>
    <t>Xuzhou - Zhejiang</t>
  </si>
  <si>
    <t>Yancheng - Xuancheng</t>
  </si>
  <si>
    <t>Yancheng - Xuanzhou</t>
  </si>
  <si>
    <t>China, Yanji</t>
  </si>
  <si>
    <t>Yanji West - Changchun</t>
  </si>
  <si>
    <t>Yanji West - Changchun West</t>
  </si>
  <si>
    <t>Yantai - Beijing Fengtai</t>
  </si>
  <si>
    <t>Yantai South - Handan East</t>
  </si>
  <si>
    <t>Yantai - Handan</t>
  </si>
  <si>
    <t>Yantai - Handan East</t>
  </si>
  <si>
    <t>Yantai South - Daminghu</t>
  </si>
  <si>
    <t>Yantai - Pingxiang</t>
  </si>
  <si>
    <t>Yiwu - Ruian</t>
  </si>
  <si>
    <t>China, Yueqing</t>
  </si>
  <si>
    <t>Yueqing - Shenzhen</t>
  </si>
  <si>
    <t>Yunnan - Leshan</t>
  </si>
  <si>
    <t>Zhangjiajie West - Laifeng</t>
  </si>
  <si>
    <t>Zhangjiajie - Enshi</t>
  </si>
  <si>
    <t>Zhangjiajie West - Fenghuanggucheng</t>
  </si>
  <si>
    <t>Zhangjiajie - Fenghuang</t>
  </si>
  <si>
    <t>China, Zhaoqing</t>
  </si>
  <si>
    <t>Zhaoqing - Changsha</t>
  </si>
  <si>
    <t>Zhaoqing - Kunming</t>
  </si>
  <si>
    <t>Zhaoqing East - Maoming</t>
  </si>
  <si>
    <t>Zhaoqing - Nanning</t>
  </si>
  <si>
    <t>Yongkang South - Hangzhou</t>
  </si>
  <si>
    <t>Yongkang South - Hangzhou East</t>
  </si>
  <si>
    <t>Yongkang South - Hangzhou South</t>
  </si>
  <si>
    <t>Fuyang Zhejiang - Nanjing South</t>
  </si>
  <si>
    <t>Jiashan - Shanghai South</t>
  </si>
  <si>
    <t>Jiashan - Shanghai West</t>
  </si>
  <si>
    <t>Lishui Zhejiang - Zhengzhou</t>
  </si>
  <si>
    <t>Lishui Zhejiang - Zhengzhou East</t>
  </si>
  <si>
    <t>Zhengzhou East - Fengjie</t>
  </si>
  <si>
    <t>Zhengzhou - Enshi</t>
  </si>
  <si>
    <t>Zhengzhou East - Hangzhou West</t>
  </si>
  <si>
    <t>Zhengzhou - Hangzhou West</t>
  </si>
  <si>
    <t>Zhengzhou East - Hebi East</t>
  </si>
  <si>
    <t>Zhengzhou East - Xian West</t>
  </si>
  <si>
    <t>China, Zhoukou</t>
  </si>
  <si>
    <t>Zhoukou - Anyang</t>
  </si>
  <si>
    <t>Zhuhai - Shaoguan</t>
  </si>
  <si>
    <t>Egypt, Ain Sokhna</t>
  </si>
  <si>
    <t>Egypt, Cairo</t>
  </si>
  <si>
    <t>Ain Sokhna Hotel Transfer - Cairo Hotel Transfer</t>
  </si>
  <si>
    <t>charter | Minibus 15pax</t>
  </si>
  <si>
    <t>charter | Minivan 5pax</t>
  </si>
  <si>
    <t>charter | Standard 3pax</t>
  </si>
  <si>
    <t>charter | Van 9pax</t>
  </si>
  <si>
    <t>Ain Sokhna Hotel Transfer - Cairo International Airport</t>
  </si>
  <si>
    <t>Ain Sokhna Port - Cairo Hotel Transfer</t>
  </si>
  <si>
    <t>Ain Sokhna Port - Cairo International Airport</t>
  </si>
  <si>
    <t>Egypt, Alexandria</t>
  </si>
  <si>
    <t>Alexandria Hotel Transfer - Cairo Hotel Transfer</t>
  </si>
  <si>
    <t>charter | Van 6pax</t>
  </si>
  <si>
    <t>Alexandria Hotel Transfer - Cairo International Airport</t>
  </si>
  <si>
    <t>Alexandria Port - Cairo Hotel Transfer</t>
  </si>
  <si>
    <t>Alexandria Port - Cairo International Airport</t>
  </si>
  <si>
    <t>Borg El Arab Intl Airport - Cairo Hotel Transfer</t>
  </si>
  <si>
    <t>Borg El Arab Intl Airport - Cairo International Airport</t>
  </si>
  <si>
    <t>Egypt, Aswan</t>
  </si>
  <si>
    <t>Aswan Airport - Aswan Hotel Transfer</t>
  </si>
  <si>
    <t>Aswan Hotel Transfer - Aswan Airport</t>
  </si>
  <si>
    <t>Egypt, Edfu</t>
  </si>
  <si>
    <t>Aswan Airport - Edfu Hotel Transfer</t>
  </si>
  <si>
    <t>Egypt, Hurghada</t>
  </si>
  <si>
    <t>Aswan Airport - El Gouna Hotel Transfer</t>
  </si>
  <si>
    <t>Aswan Airport - Hurghada Hotel Transfer</t>
  </si>
  <si>
    <t>Aswan Airport - Hurghada Intl Airport</t>
  </si>
  <si>
    <t>Aswan Airport - Makadi Bay Hotel Transfer</t>
  </si>
  <si>
    <t>Egypt, Luxor</t>
  </si>
  <si>
    <t>Aswan Airport - Luxor Hotel Transfer</t>
  </si>
  <si>
    <t>Aswan Airport - Luxor International Airport</t>
  </si>
  <si>
    <t>Aswan Hotel Transfer - Luxor International Airport</t>
  </si>
  <si>
    <t>Cairo Hotel Transfer - Ain Sokhna Hotel Transfer</t>
  </si>
  <si>
    <t>Cairo Hotel Transfer - Ain Sokhna Port</t>
  </si>
  <si>
    <t>Cairo International Airport - Ain Sokhna Hotel Transfer</t>
  </si>
  <si>
    <t>Cairo International Airport - Ain Sokhna Port</t>
  </si>
  <si>
    <t>Cairo Hotel Transfer - Alexandria Hotel Transfer</t>
  </si>
  <si>
    <t>Cairo Hotel Transfer - Alexandria Port</t>
  </si>
  <si>
    <t>Cairo Hotel Transfer - Borg El Arab Intl Airport</t>
  </si>
  <si>
    <t>Cairo International Airport - Alexandria Hotel Transfer</t>
  </si>
  <si>
    <t>Cairo International Airport - Alexandria Port</t>
  </si>
  <si>
    <t>Cairo International Airport - Borg El Arab Intl Airport</t>
  </si>
  <si>
    <t>6th of October City Transfer - Cairo Hotel Transfer</t>
  </si>
  <si>
    <t>6th of October City Transfer - Cairo International Airport</t>
  </si>
  <si>
    <t>Ain Shams Hotel Transfer - Cairo Hotel Transfer</t>
  </si>
  <si>
    <t>Ain Shams Hotel Transfer - Cairo International Airport</t>
  </si>
  <si>
    <t>Cairo Hotel Transfer - 6th of October City Transfer</t>
  </si>
  <si>
    <t>Cairo Hotel Transfer - Ain Shams Hotel Transfer</t>
  </si>
  <si>
    <t>Cairo Hotel Transfer - Cairo International Airport</t>
  </si>
  <si>
    <t>Cairo Hotel Transfer - Heliopolis Hotel Transfer</t>
  </si>
  <si>
    <t>Cairo Hotel Transfer - New Administrative Capital Transfer</t>
  </si>
  <si>
    <t>Cairo International Airport - 6th of October City Transfer</t>
  </si>
  <si>
    <t>Cairo International Airport - Ain Shams Hotel Transfer</t>
  </si>
  <si>
    <t>Cairo International Airport - Cairo Hotel Transfer</t>
  </si>
  <si>
    <t>Cairo International Airport - Heliopolis Hotel Transfer</t>
  </si>
  <si>
    <t>Cairo International Airport - New Administrative Capital Transfer</t>
  </si>
  <si>
    <t>Heliopolis Hotel Transfer - Cairo Hotel Transfer</t>
  </si>
  <si>
    <t>Heliopolis Hotel Transfer - Cairo International Airport</t>
  </si>
  <si>
    <t>New Administrative Capital Transfer - Cairo Hotel Transfer</t>
  </si>
  <si>
    <t>New Administrative Capital Transfer - Cairo International Airport</t>
  </si>
  <si>
    <t>Egypt, El Alamein</t>
  </si>
  <si>
    <t>Cairo Hotel Transfer - El Alamein Hotel Transfer</t>
  </si>
  <si>
    <t>Cairo International Airport - El Alamein Hotel Transfer</t>
  </si>
  <si>
    <t>Egypt, El Faiyum</t>
  </si>
  <si>
    <t>Cairo Hotel Transfer - Faiyum Hotel Transfer</t>
  </si>
  <si>
    <t>Cairo International Airport - Faiyum Hotel Transfer</t>
  </si>
  <si>
    <t>Egypt, El Minya</t>
  </si>
  <si>
    <t>Cairo Hotel Transfer - El Minya Hotel Transfer</t>
  </si>
  <si>
    <t>Cairo International Airport - El Minya Hotel Transfer</t>
  </si>
  <si>
    <t>Egypt, Giza</t>
  </si>
  <si>
    <t>Cairo Hotel Transfer - Giza Hotel Transfer</t>
  </si>
  <si>
    <t>Cairo International Airport - Giza Hotel Transfer</t>
  </si>
  <si>
    <t>Cairo Hotel Transfer - Hurghada Hotel Transfer</t>
  </si>
  <si>
    <t>Cairo Hotel Transfer - Hurghada Intl Airport</t>
  </si>
  <si>
    <t>charter | MPV 4pax</t>
  </si>
  <si>
    <t>Cairo International Airport - Hurghada Hotel Transfer</t>
  </si>
  <si>
    <t>Egypt, Ismailia</t>
  </si>
  <si>
    <t>Cairo Hotel Transfer - Ismailia Hotel Transfer</t>
  </si>
  <si>
    <t>Cairo International Airport - Ismailia Hotel Transfer</t>
  </si>
  <si>
    <t>Cairo Hotel Transfer - Luxor Hotel Transfer</t>
  </si>
  <si>
    <t>Cairo Hotel Transfer - Luxor International Airport</t>
  </si>
  <si>
    <t>Cairo International Airport - Luxor Hotel Transfer</t>
  </si>
  <si>
    <t>Egypt, Marsa Alam</t>
  </si>
  <si>
    <t>Cairo Hotel Transfer - Marsa Alam Hotel Transfer</t>
  </si>
  <si>
    <t>Cairo International Airport - Marsa Alam Hotel Transfer</t>
  </si>
  <si>
    <t>Egypt, Port Said</t>
  </si>
  <si>
    <t>Cairo Hotel Transfer - Port Said Hotel Transfer</t>
  </si>
  <si>
    <t>Cairo International Airport - Port Said Hotel Transfer</t>
  </si>
  <si>
    <t>Egypt, Sharm El Sheikh</t>
  </si>
  <si>
    <t>Cairo Hotel Transfer - Sharm El Sheikh Hotel Transfer</t>
  </si>
  <si>
    <t>Cairo Hotel Transfer - Sharm El Sheikh Intl Airport</t>
  </si>
  <si>
    <t>Cairo International Airport - Sharm El Sheikh Hotel Transfer</t>
  </si>
  <si>
    <t>Egypt, Siwa</t>
  </si>
  <si>
    <t>Cairo Hotel Transfer - Siwa Hotel Transfer</t>
  </si>
  <si>
    <t>Cairo International Airport - Siwa Hotel Transfer</t>
  </si>
  <si>
    <t>Egypt, St Catherine</t>
  </si>
  <si>
    <t>Cairo Hotel Transfer - St Catherine Hotel Transfer</t>
  </si>
  <si>
    <t>Cairo International Airport - St Catherine Hotel Transfer</t>
  </si>
  <si>
    <t>Egypt, Suez</t>
  </si>
  <si>
    <t>Cairo Hotel Transfer - Suez Hotel Transfer</t>
  </si>
  <si>
    <t>Cairo International Airport - Suez Hotel Transfer</t>
  </si>
  <si>
    <t>Egypt, Taba</t>
  </si>
  <si>
    <t>Cairo Hotel Transfer - Taba Hotel Transfer</t>
  </si>
  <si>
    <t>Cairo International Airport - Taba Hotel Transfer</t>
  </si>
  <si>
    <t>Egypt, Dahab</t>
  </si>
  <si>
    <t>Dahab Hotel Transfer - Sharm El Sheikh Intl Airport</t>
  </si>
  <si>
    <t>Edfu Hotel Transfer - Aswan Airport</t>
  </si>
  <si>
    <t>Edfu Hotel Transfer - Luxor International Airport</t>
  </si>
  <si>
    <t>El Alamein Hotel Transfer - Cairo Hotel Transfer</t>
  </si>
  <si>
    <t>El Alamein Hotel Transfer - Cairo International Airport</t>
  </si>
  <si>
    <t>Faiyum Hotel Transfer - Cairo Hotel Transfer</t>
  </si>
  <si>
    <t>Faiyum Hotel Transfer - Cairo International Airport</t>
  </si>
  <si>
    <t>El Minya Hotel Transfer - Cairo Hotel Transfer</t>
  </si>
  <si>
    <t>El Minya Hotel Transfer - Cairo International Airport</t>
  </si>
  <si>
    <t>Egypt, El Qoseir</t>
  </si>
  <si>
    <t>Akassia Swiss Resort - Hurghada Intl Airport</t>
  </si>
  <si>
    <t>El Qoseir Hotel Transfer - Hurghada Intl Airport</t>
  </si>
  <si>
    <t>El Qoseir Hotel Transfer - Luxor International Airport</t>
  </si>
  <si>
    <t>Akassia Swiss Resort - Marsa Alam Airport</t>
  </si>
  <si>
    <t>El Qoseir Hotel Transfer - Marsa Alam Airport</t>
  </si>
  <si>
    <t>Giza Hotel Transfer - Cairo Hotel Transfer</t>
  </si>
  <si>
    <t>Giza Hotel Transfer - Cairo International Airport</t>
  </si>
  <si>
    <t>El Gouna Hotel Transfer - Aswan Airport</t>
  </si>
  <si>
    <t>Hurghada Hotel Transfer - Aswan Airport</t>
  </si>
  <si>
    <t>Hurghada Intl Airport - Aswan Airport</t>
  </si>
  <si>
    <t>Makadi Bay Hotel Transfer - Aswan Airport</t>
  </si>
  <si>
    <t>Hurghada Hotel Transfer - Cairo Hotel Transfer</t>
  </si>
  <si>
    <t>Hurghada Hotel Transfer - Cairo International Airport</t>
  </si>
  <si>
    <t>Hurghada Intl Airport - Cairo Hotel Transfer</t>
  </si>
  <si>
    <t>Hurghada Intl Airport - Akassia Swiss Resort</t>
  </si>
  <si>
    <t>Hurghada Intl Airport - El Qoseir Hotel Transfer</t>
  </si>
  <si>
    <t>Coral Beach Hotel - Hurghada Intl Airport</t>
  </si>
  <si>
    <t>El Gouna Hotel Transfer - Hurghada Intl Airport</t>
  </si>
  <si>
    <t>Hurghada Hotel Transfer - Hurghada Intl Airport</t>
  </si>
  <si>
    <t>Hurghada Intl Airport - Coral Beach Hotel</t>
  </si>
  <si>
    <t>Hurghada Intl Airport - El Gouna Hotel Transfer</t>
  </si>
  <si>
    <t>Hurghada Intl Airport - Hurghada Hotel Transfer</t>
  </si>
  <si>
    <t>Hurghada Intl Airport - Intercontinental District Transfer</t>
  </si>
  <si>
    <t>Hurghada Intl Airport - Makadi Bay Hotel Transfer</t>
  </si>
  <si>
    <t>Hurghada Intl Airport - Sahl Hasheesh Hotel Transfer</t>
  </si>
  <si>
    <t>Hurghada Intl Airport - Soma Bay Hotel Transfer</t>
  </si>
  <si>
    <t>Intercontinental District Transfer - Hurghada Intl Airport</t>
  </si>
  <si>
    <t>Makadi Bay Hotel Transfer - Hurghada Intl Airport</t>
  </si>
  <si>
    <t>Sahl Hasheesh Hotel Transfer - Hurghada Intl Airport</t>
  </si>
  <si>
    <t>Soma Bay Hotel Transfer - Hurghada Intl Airport</t>
  </si>
  <si>
    <t>El Gouna Hotel Transfer - Luxor International Airport</t>
  </si>
  <si>
    <t>Hurghada Hotel Transfer - Luxor International Airport</t>
  </si>
  <si>
    <t>Hurghada Intl Airport - Luxor Hotel Transfer</t>
  </si>
  <si>
    <t>Hurghada Port - Luxor International Airport</t>
  </si>
  <si>
    <t>Makadi Bay Hotel Transfer - Luxor International Airport</t>
  </si>
  <si>
    <t>Soma Bay Hotel Transfer - Luxor International Airport</t>
  </si>
  <si>
    <t>Coral Beach Hotel - Marsa Alam Airport</t>
  </si>
  <si>
    <t>Hurghada Hotel Transfer - Marsa Alam Airport</t>
  </si>
  <si>
    <t>Hurghada Intl Airport - Madinat Coraya Resort</t>
  </si>
  <si>
    <t>Hurghada Intl Airport - Marsa Alam Airport</t>
  </si>
  <si>
    <t>Hurghada Intl Airport - Port Ghalib Hotel Transfer</t>
  </si>
  <si>
    <t>Makadi Bay Hotel Transfer - Marsa Alam Airport</t>
  </si>
  <si>
    <t>Sahl Hasheesh Hotel Transfer - Marsa Alam Airport</t>
  </si>
  <si>
    <t>Soma Bay Hotel Transfer - Marsa Alam Airport</t>
  </si>
  <si>
    <t>Egypt, Safaga</t>
  </si>
  <si>
    <t>Hurghada Intl Airport - Magic Life Club Kalawy Imperial Resort</t>
  </si>
  <si>
    <t>Hurghada Intl Airport - Safaga Hotel Transfer</t>
  </si>
  <si>
    <t>Ismailia Hotel Transfer - Cairo Hotel Transfer</t>
  </si>
  <si>
    <t>Ismailia Hotel Transfer - Cairo International Airport</t>
  </si>
  <si>
    <t>Luxor Hotel Transfer - Aswan Airport</t>
  </si>
  <si>
    <t>Luxor International Airport - Aswan Airport</t>
  </si>
  <si>
    <t>Luxor International Airport - Aswan Hotel Transfer</t>
  </si>
  <si>
    <t>Luxor Hotel Transfer - Cairo Hotel Transfer</t>
  </si>
  <si>
    <t>Luxor Hotel Transfer - Cairo International Airport</t>
  </si>
  <si>
    <t>Luxor International Airport - Cairo Hotel Transfer</t>
  </si>
  <si>
    <t>Luxor International Airport - Edfu Hotel Transfer</t>
  </si>
  <si>
    <t>Luxor International Airport - El Qoseir Hotel Transfer</t>
  </si>
  <si>
    <t>Luxor Hotel Transfer - Hurghada Intl Airport</t>
  </si>
  <si>
    <t>Luxor International Airport - El Gouna Hotel Transfer</t>
  </si>
  <si>
    <t>Luxor International Airport - Hurghada Hotel Transfer</t>
  </si>
  <si>
    <t>Luxor International Airport - Hurghada Port</t>
  </si>
  <si>
    <t>Luxor International Airport - Makadi Bay Hotel Transfer</t>
  </si>
  <si>
    <t>Luxor International Airport - Soma Bay Hotel Transfer</t>
  </si>
  <si>
    <t>Luxor Cruise Port - Luxor International Airport</t>
  </si>
  <si>
    <t>Luxor Hotel Transfer - Luxor International Airport</t>
  </si>
  <si>
    <t>Luxor International Airport - Luxor Cruise Port</t>
  </si>
  <si>
    <t>Luxor International Airport - Luxor Hotel Transfer</t>
  </si>
  <si>
    <t>Luxor International Airport - Luxor West Bank Transfer</t>
  </si>
  <si>
    <t>Luxor West Bank Transfer - Luxor International Airport</t>
  </si>
  <si>
    <t>Luxor Hotel Transfer - Marsa Alam Airport</t>
  </si>
  <si>
    <t>Luxor International Airport - Abu Dabbab Hotel Transfer</t>
  </si>
  <si>
    <t>Luxor International Airport - Hamata</t>
  </si>
  <si>
    <t>Luxor International Airport - Marsa Alam Hotel Transfer</t>
  </si>
  <si>
    <t>Luxor International Airport - Port Ghalib Hotel Transfer</t>
  </si>
  <si>
    <t>Egypt, Qena</t>
  </si>
  <si>
    <t>Luxor International Airport - Qena Hotel Transfer</t>
  </si>
  <si>
    <t>Luxor International Airport - Safaga Hotel Transfer</t>
  </si>
  <si>
    <t>Luxor International Airport - Taba Hotel Transfer</t>
  </si>
  <si>
    <t>Marsa Alam Hotel Transfer - Cairo Hotel Transfer</t>
  </si>
  <si>
    <t>Marsa Alam Hotel Transfer - Cairo International Airport</t>
  </si>
  <si>
    <t>Marsa Alam Airport - Akassia Swiss Resort</t>
  </si>
  <si>
    <t>Marsa Alam Airport - El Qoseir Hotel Transfer</t>
  </si>
  <si>
    <t>Madinat Coraya Resort - Hurghada Intl Airport</t>
  </si>
  <si>
    <t>Marsa Alam Airport - Coral Beach Hotel</t>
  </si>
  <si>
    <t>Marsa Alam Airport - Hurghada Hotel Transfer</t>
  </si>
  <si>
    <t>Marsa Alam Airport - Hurghada Intl Airport</t>
  </si>
  <si>
    <t>Marsa Alam Airport - Makadi Bay Hotel Transfer</t>
  </si>
  <si>
    <t>Marsa Alam Airport - Sahl Hasheesh Hotel Transfer</t>
  </si>
  <si>
    <t>Marsa Alam Airport - Soma Bay Hotel Transfer</t>
  </si>
  <si>
    <t>Port Ghalib Hotel Transfer - Hurghada Intl Airport</t>
  </si>
  <si>
    <t>Abu Dabbab Hotel Transfer - Luxor International Airport</t>
  </si>
  <si>
    <t>Hamata - Luxor International Airport</t>
  </si>
  <si>
    <t>Marsa Alam Airport - Luxor Hotel Transfer</t>
  </si>
  <si>
    <t>Marsa Alam Hotel Transfer - Luxor International Airport</t>
  </si>
  <si>
    <t>Port Ghalib Hotel Transfer - Luxor International Airport</t>
  </si>
  <si>
    <t>Gemma Beach Hotel Transfer - Marsa Alam Airport</t>
  </si>
  <si>
    <t>Gorgonia Beach Resort - Marsa Alam Airport</t>
  </si>
  <si>
    <t>Hamata - Marsa Alam Airport</t>
  </si>
  <si>
    <t>Hotelux Oriental Coast Marsa Alam - Marsa Alam Airport</t>
  </si>
  <si>
    <t>Lahami Bay Beach Resort - Marsa Alam Airport</t>
  </si>
  <si>
    <t>Madinat Coraya Resort - Marsa Alam Airport</t>
  </si>
  <si>
    <t>Marsa Alam Airport - Gemma Beach Hotel Transfer</t>
  </si>
  <si>
    <t>Marsa Alam Airport - Gorgonia Beach Resort</t>
  </si>
  <si>
    <t>Marsa Alam Airport - Hamata</t>
  </si>
  <si>
    <t>Marsa Alam Airport - Hotelux Oriental Coast Marsa Alam</t>
  </si>
  <si>
    <t>Marsa Alam Airport - Lahami Bay Beach Resort</t>
  </si>
  <si>
    <t>Marsa Alam Airport - Madinat Coraya Resort</t>
  </si>
  <si>
    <t>Marsa Alam Airport - Marsa Alam Hotel Transfer</t>
  </si>
  <si>
    <t>Marsa Alam Airport - Nabaa Bay</t>
  </si>
  <si>
    <t>Marsa Alam Airport - Port Ghalib Hotel Transfer</t>
  </si>
  <si>
    <t>Marsa Alam Airport - Shams Alam Beach Resort</t>
  </si>
  <si>
    <t>Marsa Alam Airport - Wadi Lahmy Azur Resort</t>
  </si>
  <si>
    <t>Marsa Alam Hotel Transfer - Marsa Alam Airport</t>
  </si>
  <si>
    <t>Nabaa Bay - Marsa Alam Airport</t>
  </si>
  <si>
    <t>Port Ghalib Hotel Transfer - Marsa Alam Airport</t>
  </si>
  <si>
    <t>Shams Alam Beach Resort - Marsa Alam Airport</t>
  </si>
  <si>
    <t>Wadi Lahmy Azur Resort - Marsa Alam Airport</t>
  </si>
  <si>
    <t>Marsa Alam Airport - Magic Life Club Kalawy Imperial Resort</t>
  </si>
  <si>
    <t>Marsa Alam Airport - Safaga Hotel Transfer</t>
  </si>
  <si>
    <t>Egypt, Marsa Matruh</t>
  </si>
  <si>
    <t>Egypt, Tanta</t>
  </si>
  <si>
    <t>Marsa Matruh Hotel Transfer - Tanta Hotel Transfer</t>
  </si>
  <si>
    <t>Egypt, Nuweiba</t>
  </si>
  <si>
    <t>Nuweiba Hotel Transfer - Sharm El Sheikh Intl Airport</t>
  </si>
  <si>
    <t>Port Said Hotel Transfer - Cairo Hotel Transfer</t>
  </si>
  <si>
    <t>Port Said Hotel Transfer - Cairo International Airport</t>
  </si>
  <si>
    <t>Qena Hotel Transfer - Luxor International Airport</t>
  </si>
  <si>
    <t>Egypt, Ras Sedr</t>
  </si>
  <si>
    <t>Ras Sedr Hotel Transfer - Sharm El Sheikh Intl Airport</t>
  </si>
  <si>
    <t>Magic Life Club Kalawy Imperial Resort - Hurghada Intl Airport</t>
  </si>
  <si>
    <t>Safaga Hotel Transfer - Hurghada Intl Airport</t>
  </si>
  <si>
    <t>Safaga Hotel Transfer - Luxor International Airport</t>
  </si>
  <si>
    <t>Magic Life Club Kalawy Imperial Resort - Marsa Alam Airport</t>
  </si>
  <si>
    <t>Safaga Hotel Transfer - Marsa Alam Airport</t>
  </si>
  <si>
    <t>Sharm El Sheikh Hotel Transfer - Cairo Hotel Transfer</t>
  </si>
  <si>
    <t>Sharm El Sheikh Hotel Transfer - Cairo International Airport</t>
  </si>
  <si>
    <t>Sharm El Sheikh Intl Airport - Cairo Hotel Transfer</t>
  </si>
  <si>
    <t>Sharm El Sheikh Intl Airport - Dahab Hotel Transfer</t>
  </si>
  <si>
    <t>Sharm El Sheikh Intl Airport - Nuweiba Hotel Transfer</t>
  </si>
  <si>
    <t>Sharm El Sheikh Intl Airport - Ras Sedr Hotel Transfer</t>
  </si>
  <si>
    <t>Naama Bay Hotel Transfer - Sharm El Sheikh Intl Airport</t>
  </si>
  <si>
    <t>Nabq Bay Hotel Transfer - Sharm El Sheikh Intl Airport</t>
  </si>
  <si>
    <t>Om El Seid Hotel Transfer - Sharm El Sheikh Intl Airport</t>
  </si>
  <si>
    <t>Pasha Bay Hotel Transfer - Sharm El Sheikh Intl Airport</t>
  </si>
  <si>
    <t>Ras Nasrani Beach - Sharm El Sheikh Intl Airport</t>
  </si>
  <si>
    <t>Ras Um Sid Hotel Transfer - Sharm El Sheikh Intl Airport</t>
  </si>
  <si>
    <t>Sharks Bay Hotel Transfer - Sharm El Sheikh Intl Airport</t>
  </si>
  <si>
    <t>Sharm El Sheikh Hotel Transfer - Sharm El Sheikh Intl Airport</t>
  </si>
  <si>
    <t>Sharm El Sheikh Intl Airport - Naama Bay Hotel Transfer</t>
  </si>
  <si>
    <t>Sharm El Sheikh Intl Airport - Nabq Bay Hotel Transfer</t>
  </si>
  <si>
    <t>Sharm El Sheikh Intl Airport - Om El Seid Hotel Transfer</t>
  </si>
  <si>
    <t>Sharm El Sheikh Intl Airport - Pasha Bay Hotel Transfer</t>
  </si>
  <si>
    <t>Sharm El Sheikh Intl Airport - Ras Nasrani Beach</t>
  </si>
  <si>
    <t>Sharm El Sheikh Intl Airport - Ras Um Sid Hotel Transfer</t>
  </si>
  <si>
    <t>Sharm El Sheikh Intl Airport - Sharks Bay Hotel Transfer</t>
  </si>
  <si>
    <t>Sharm El Sheikh Intl Airport - Sharm El Sheikh Hotel Transfer</t>
  </si>
  <si>
    <t>Sharm El Sheikh Intl Airport - Sharm El Sheikh Port</t>
  </si>
  <si>
    <t>Sharm El Sheikh Port - Sharm El Sheikh Intl Airport</t>
  </si>
  <si>
    <t>Sharm El Sheikh Intl Airport - St Catherine Hotel Transfer</t>
  </si>
  <si>
    <t>Sharm El Sheikh Intl Airport - Taba Hotel Transfer</t>
  </si>
  <si>
    <t>Siwa Hotel Transfer - Cairo Hotel Transfer</t>
  </si>
  <si>
    <t>Siwa Hotel Transfer - Cairo International Airport</t>
  </si>
  <si>
    <t>St Catherine Hotel Transfer - Cairo Hotel Transfer</t>
  </si>
  <si>
    <t>St Catherine Hotel Transfer - Cairo International Airport</t>
  </si>
  <si>
    <t>St Catherine Hotel Transfer - Sharm El Sheikh Intl Airport</t>
  </si>
  <si>
    <t>Suez Hotel Transfer - Cairo Hotel Transfer</t>
  </si>
  <si>
    <t>Suez Hotel Transfer - Cairo International Airport</t>
  </si>
  <si>
    <t>Taba Hotel Transfer - Cairo Hotel Transfer</t>
  </si>
  <si>
    <t>Taba Hotel Transfer - Cairo International Airport</t>
  </si>
  <si>
    <t>Taba Hotel Transfer - Luxor International Airport</t>
  </si>
  <si>
    <t>Taba Hotel Transfer - Sharm El Sheikh Intl Airport</t>
  </si>
  <si>
    <t>Tanta Hotel Transfer - Marsa Matruh Hotel Transfer</t>
  </si>
  <si>
    <t>France, Amboise</t>
  </si>
  <si>
    <t>France, Paris</t>
  </si>
  <si>
    <t>Amboise Hotel Transfer - Paris Hotel Transfer</t>
  </si>
  <si>
    <t>charter | Minivan 8pax</t>
  </si>
  <si>
    <t>charter | Standard 4pax</t>
  </si>
  <si>
    <t>France, Beauvais</t>
  </si>
  <si>
    <t>Beauvais Hotel Transfer - Paris Hotel Transfer</t>
  </si>
  <si>
    <t>France, Blois</t>
  </si>
  <si>
    <t>Blois Hotel Transfer - Paris Hotel Transfer</t>
  </si>
  <si>
    <t>France, Caen</t>
  </si>
  <si>
    <t>Caen Hotel Transfer - Paris Hotel Transfer</t>
  </si>
  <si>
    <t>France, Calais</t>
  </si>
  <si>
    <t>Calais Hotel Transfer - Paris Hotel Transfer</t>
  </si>
  <si>
    <t>France, Dijon</t>
  </si>
  <si>
    <t>Dijon Hotel Transfer - Paris Hotel Transfer</t>
  </si>
  <si>
    <t>France, Etretat</t>
  </si>
  <si>
    <t>Etretat Hotel Transfer - Paris Hotel Transfer</t>
  </si>
  <si>
    <t>France, Honfleur</t>
  </si>
  <si>
    <t>Honfleur Hotel Transfer - Paris Hotel Transfer</t>
  </si>
  <si>
    <t>France, Lille</t>
  </si>
  <si>
    <t>Lille Hotel Transfer - Paris Hotel Transfer</t>
  </si>
  <si>
    <t>France, Lyon</t>
  </si>
  <si>
    <t>Lyon Hotel Transfer - Paris Hotel Transfer</t>
  </si>
  <si>
    <t>France, Mont Saint Michel</t>
  </si>
  <si>
    <t>Mont Saint Michel Transfer - Paris Hotel Transfer</t>
  </si>
  <si>
    <t>France, Nantes</t>
  </si>
  <si>
    <t>Nantes Hotel Transfer - Paris Hotel Transfer</t>
  </si>
  <si>
    <t>Paris Hotel Transfer - Amboise Hotel Transfer</t>
  </si>
  <si>
    <t>Paris Hotel Transfer - Beauvais Hotel Transfer</t>
  </si>
  <si>
    <t>Paris Hotel Transfer - Blois Hotel Transfer</t>
  </si>
  <si>
    <t>Paris Hotel Transfer - Caen Hotel Transfer</t>
  </si>
  <si>
    <t>Paris Hotel Transfer - Calais Hotel Transfer</t>
  </si>
  <si>
    <t>Paris Hotel Transfer - Dijon Hotel Transfer</t>
  </si>
  <si>
    <t>Paris Hotel Transfer - Etretat Hotel Transfer</t>
  </si>
  <si>
    <t>Paris Hotel Transfer - Honfleur Hotel Transfer</t>
  </si>
  <si>
    <t>Paris Hotel Transfer - Lille Hotel Transfer</t>
  </si>
  <si>
    <t>Paris Hotel Transfer - Lyon Hotel Transfer</t>
  </si>
  <si>
    <t>Paris Hotel Transfer - Mont Saint Michel Transfer</t>
  </si>
  <si>
    <t>Paris Hotel Transfer - Nantes Hotel Transfer</t>
  </si>
  <si>
    <t>Charles de Gaulle Airport - Paris Disneyland</t>
  </si>
  <si>
    <t>Charles de Gaulle Airport - Paris Hotel Transfer</t>
  </si>
  <si>
    <t>charter | Business 3pax</t>
  </si>
  <si>
    <t>Gare de Lyon Train Station - Gare du Nord Train Station</t>
  </si>
  <si>
    <t>Gare du Nord Train Station - Gare de Lyon Train Station</t>
  </si>
  <si>
    <t>Paris Disneyland - Charles de Gaulle Airport</t>
  </si>
  <si>
    <t>Paris Disneyland - Paris Hotel Transfer</t>
  </si>
  <si>
    <t>Paris Disneyland - Paris Orly Airport</t>
  </si>
  <si>
    <t>Paris Hotel Transfer - Charles de Gaulle Airport</t>
  </si>
  <si>
    <t>Paris Hotel Transfer - Paris Disneyland</t>
  </si>
  <si>
    <t>Paris Hotel Transfer - Paris Orly Airport</t>
  </si>
  <si>
    <t>Paris Orly Airport - Paris Disneyland</t>
  </si>
  <si>
    <t>Paris Orly Airport - Paris Hotel Transfer</t>
  </si>
  <si>
    <t>France, Reims</t>
  </si>
  <si>
    <t>Paris Hotel Transfer - Reims Hotel Transfer</t>
  </si>
  <si>
    <t>France, Rouen</t>
  </si>
  <si>
    <t>Paris Hotel Transfer - Rouen Hotel Transfer</t>
  </si>
  <si>
    <t>France, Saint Malo</t>
  </si>
  <si>
    <t>Paris Hotel Transfer - Saint Malo Hotel Transfer</t>
  </si>
  <si>
    <t>France, Saint Michel</t>
  </si>
  <si>
    <t>Paris Hotel Transfer - Saint Michel Hotel Transfer</t>
  </si>
  <si>
    <t>France, Tours</t>
  </si>
  <si>
    <t>Paris Hotel Transfer - Tours Hotel Transfer</t>
  </si>
  <si>
    <t>France, Versailles</t>
  </si>
  <si>
    <t>Paris Hotel Transfer - Chateau de Versailles</t>
  </si>
  <si>
    <t>Paris Hotel Transfer - Versailles Hotel Transfer</t>
  </si>
  <si>
    <t>Reims Hotel Transfer - Paris Hotel Transfer</t>
  </si>
  <si>
    <t>Rouen Hotel Transfer - Paris Hotel Transfer</t>
  </si>
  <si>
    <t>Saint Malo Hotel Transfer - Paris Hotel Transfer</t>
  </si>
  <si>
    <t>Saint Michel Hotel Transfer - Paris Hotel Transfer</t>
  </si>
  <si>
    <t>Tours Hotel Transfer - Paris Hotel Transfer</t>
  </si>
  <si>
    <t>Chateau de Versailles - Paris Hotel Transfer</t>
  </si>
  <si>
    <t>Versailles Hotel Transfer - Paris Hotel Transfer</t>
  </si>
  <si>
    <t>Hong Kong - Boluo</t>
  </si>
  <si>
    <t>Hong Kong - Dongcheng South</t>
  </si>
  <si>
    <t>Hong Kong - Duan Yao</t>
  </si>
  <si>
    <t>Hong Kong - Guzhang</t>
  </si>
  <si>
    <t>Hong Kong - Handan</t>
  </si>
  <si>
    <t>Hong Kong - Jiangbei</t>
  </si>
  <si>
    <t>Hong Kong - Jiangjin</t>
  </si>
  <si>
    <t>Hong Kong - Jiangxia</t>
  </si>
  <si>
    <t>Hong Kong - Jiangyuan</t>
  </si>
  <si>
    <t>Hong Kong - Jiaocheng</t>
  </si>
  <si>
    <t>Hong Kong - Mingxi</t>
  </si>
  <si>
    <t>Hong Kong - Saihan</t>
  </si>
  <si>
    <t>Hong Kong - Shaoyang</t>
  </si>
  <si>
    <t>Hong Kong - Tianxin</t>
  </si>
  <si>
    <t>Hong Kong - Xihu</t>
  </si>
  <si>
    <t>Hong Kong - Xishui</t>
  </si>
  <si>
    <t>Malaysia, Bandar Sunway</t>
  </si>
  <si>
    <t>Hong Kong - Bandar Sunway</t>
  </si>
  <si>
    <t>avia</t>
  </si>
  <si>
    <t>Malaysia, Klang</t>
  </si>
  <si>
    <t>Hong Kong - Klang</t>
  </si>
  <si>
    <t>Malaysia, Kuala Lumpur Sentral</t>
  </si>
  <si>
    <t>Hong Kong - Kuala Lumpur Sentral</t>
  </si>
  <si>
    <t>Malaysia, Putrajaya</t>
  </si>
  <si>
    <t>Hong Kong - Putrajaya</t>
  </si>
  <si>
    <t>Malaysia, Seremban</t>
  </si>
  <si>
    <t>Hong Kong - Seremban</t>
  </si>
  <si>
    <t>Kowloon - Chenzhou</t>
  </si>
  <si>
    <t>India, Abhaneri</t>
  </si>
  <si>
    <t>India, Alwar</t>
  </si>
  <si>
    <t>Abhaneri - Alwar</t>
  </si>
  <si>
    <t>India, Adoni</t>
  </si>
  <si>
    <t>India, Tirupati</t>
  </si>
  <si>
    <t>Adoni - Tirupati</t>
  </si>
  <si>
    <t>India, Agartala</t>
  </si>
  <si>
    <t>India, Bongaigaon</t>
  </si>
  <si>
    <t>Agartala - Bongaigaon</t>
  </si>
  <si>
    <t>India, Karimganj</t>
  </si>
  <si>
    <t>Agartala - Karimganj</t>
  </si>
  <si>
    <t>Agartala - Karimganj Junction</t>
  </si>
  <si>
    <t>Agartala - New Karimganj</t>
  </si>
  <si>
    <t>India, New Bongaigaon</t>
  </si>
  <si>
    <t>Agartala - New Bongaigaon</t>
  </si>
  <si>
    <t>India, Rampur Hat</t>
  </si>
  <si>
    <t>Agartala - Rampur Hat</t>
  </si>
  <si>
    <t>India, Tripura</t>
  </si>
  <si>
    <t>Agartala - Kumarghat</t>
  </si>
  <si>
    <t>Agartala - Tripura</t>
  </si>
  <si>
    <t>India, Agra</t>
  </si>
  <si>
    <t>India, Kopargaon</t>
  </si>
  <si>
    <t>Agra Cantt - Kopargaon</t>
  </si>
  <si>
    <t>Agra - Kopargaon</t>
  </si>
  <si>
    <t>Agra - Margao</t>
  </si>
  <si>
    <t>India, Ramgarh Cantonment</t>
  </si>
  <si>
    <t>Agra - Ramgarh Cantonment</t>
  </si>
  <si>
    <t>India, Sonipat</t>
  </si>
  <si>
    <t>Agra Cantt - Sonipat</t>
  </si>
  <si>
    <t>India, Umaria</t>
  </si>
  <si>
    <t>Agra Cantt - Umaria</t>
  </si>
  <si>
    <t>Agra - Umaria</t>
  </si>
  <si>
    <t>India, Ahmadnagar</t>
  </si>
  <si>
    <t>India, Jalgaon</t>
  </si>
  <si>
    <t>Ahmadnagar - Jalgaon</t>
  </si>
  <si>
    <t>Ahmadnagar - Jalgaon Jn</t>
  </si>
  <si>
    <t>Ahmedabad - Abhaneri</t>
  </si>
  <si>
    <t>India, Akola</t>
  </si>
  <si>
    <t>Ahmedabad Jn - Akola Junction</t>
  </si>
  <si>
    <t>India, Badnera</t>
  </si>
  <si>
    <t>Ahmedabad Jn - Badnera Junction</t>
  </si>
  <si>
    <t>India, Bandikui</t>
  </si>
  <si>
    <t>Ahmedabad Jn - Bandikui Junction</t>
  </si>
  <si>
    <t>Ahmedabad - Bandikui</t>
  </si>
  <si>
    <t>India, Karwar</t>
  </si>
  <si>
    <t>Ahmedabad Jn - Karwar</t>
  </si>
  <si>
    <t>Ahmedabad - Karwar</t>
  </si>
  <si>
    <t>India, Manipal</t>
  </si>
  <si>
    <t>Ahmedabad - Manipal</t>
  </si>
  <si>
    <t>India, Nagda</t>
  </si>
  <si>
    <t>Ahmedabad Jn - Nagda Junction</t>
  </si>
  <si>
    <t>Ahmedabad - Nagda</t>
  </si>
  <si>
    <t>Asarva - Nagda Junction</t>
  </si>
  <si>
    <t>India, Orai</t>
  </si>
  <si>
    <t>Ahmedabad Jn - Orai</t>
  </si>
  <si>
    <t>India, Rajasthan</t>
  </si>
  <si>
    <t>Ahmedabad Jn - Sadulpur Junction</t>
  </si>
  <si>
    <t>India, Sabarmati</t>
  </si>
  <si>
    <t>Ahmedabad Jn - Sabarmati Junction Sbt</t>
  </si>
  <si>
    <t>Ahmedabad - Vrindavan</t>
  </si>
  <si>
    <t>India, Hyderabad</t>
  </si>
  <si>
    <t>Akola Junction - Hyderabad Decan</t>
  </si>
  <si>
    <t>Akola Junction - Kacheguda</t>
  </si>
  <si>
    <t>Akola Junction - Secunderabad</t>
  </si>
  <si>
    <t>Akola - Hyderabad</t>
  </si>
  <si>
    <t>India, Alappuzha</t>
  </si>
  <si>
    <t>India, Mangalore</t>
  </si>
  <si>
    <t>Alappuzha - Mangalore Jn</t>
  </si>
  <si>
    <t>India, Aligarh</t>
  </si>
  <si>
    <t>India, Delhi</t>
  </si>
  <si>
    <t>Aligarh Junction - Sabzi Mandi</t>
  </si>
  <si>
    <t>India, Faizabad</t>
  </si>
  <si>
    <t>Aligarh Junction - Ayodhya Cantt</t>
  </si>
  <si>
    <t>Aligarh - Faizabad</t>
  </si>
  <si>
    <t>India, Firozabad</t>
  </si>
  <si>
    <t>Aligarh Junction - Firozabad</t>
  </si>
  <si>
    <t>Aligarh - Firozabad</t>
  </si>
  <si>
    <t>India, Haridwar</t>
  </si>
  <si>
    <t>Aligarh Junction - Haridwar Jn</t>
  </si>
  <si>
    <t>India, Aluva</t>
  </si>
  <si>
    <t>India, Nagercoil</t>
  </si>
  <si>
    <t>Aluva - Nagercoil Jn</t>
  </si>
  <si>
    <t>Aluva - Nagercoil Town</t>
  </si>
  <si>
    <t>Alwar - Surat</t>
  </si>
  <si>
    <t>India, Ambaji</t>
  </si>
  <si>
    <t>India, Jammu</t>
  </si>
  <si>
    <t>Ambaji - Jammu</t>
  </si>
  <si>
    <t>India, Ambala City</t>
  </si>
  <si>
    <t>India, Varanasi</t>
  </si>
  <si>
    <t>Ambala City - Varanasi Jn</t>
  </si>
  <si>
    <t>India, Amravati</t>
  </si>
  <si>
    <t>Amravati - Kacheguda</t>
  </si>
  <si>
    <t>India, Amritsar</t>
  </si>
  <si>
    <t>India, Meerut</t>
  </si>
  <si>
    <t>Amritsar Jn - Meerut City</t>
  </si>
  <si>
    <t>Amritsar - Meerut</t>
  </si>
  <si>
    <t>India, Amroha</t>
  </si>
  <si>
    <t>India, Bareilly</t>
  </si>
  <si>
    <t>Amroha - Bareilly</t>
  </si>
  <si>
    <t>India, Anakapalle</t>
  </si>
  <si>
    <t>India, Lingampalli</t>
  </si>
  <si>
    <t>Anakapalle - Lingampalli</t>
  </si>
  <si>
    <t>India, Anand Gujarat</t>
  </si>
  <si>
    <t>Anand Gujarat - Gujarat</t>
  </si>
  <si>
    <t>India, Kalyan</t>
  </si>
  <si>
    <t>Anand Gujarat - Kalyan</t>
  </si>
  <si>
    <t>Anand Jn - Kalyan Jn</t>
  </si>
  <si>
    <t>Anand Gujarat - Varanasi</t>
  </si>
  <si>
    <t>India, Anantapur</t>
  </si>
  <si>
    <t>Anantapur - Broadmeadow</t>
  </si>
  <si>
    <t>Anantapur - Newcastle New South Wales</t>
  </si>
  <si>
    <t>Anantapur - Maharashtra</t>
  </si>
  <si>
    <t>India, Mumbai</t>
  </si>
  <si>
    <t>Anantapur - Lokmanya Tilak Term</t>
  </si>
  <si>
    <t>Anantapur - Mumbai</t>
  </si>
  <si>
    <t>Anantapur - Mumbai Cst</t>
  </si>
  <si>
    <t>India, Tiruchirappalli</t>
  </si>
  <si>
    <t>Anantapur - Tiruchirapalli</t>
  </si>
  <si>
    <t>Anantapur - Tiruchirappalli</t>
  </si>
  <si>
    <t>India, Anaparthi</t>
  </si>
  <si>
    <t>Anaparthi - Tirupati</t>
  </si>
  <si>
    <t>Anaparti - Tirupati</t>
  </si>
  <si>
    <t>India, Andal</t>
  </si>
  <si>
    <t>India, Howrah</t>
  </si>
  <si>
    <t>Andal Junction - Howrah</t>
  </si>
  <si>
    <t>Andal - Howrah</t>
  </si>
  <si>
    <t>India, Kolkata</t>
  </si>
  <si>
    <t>Andal Junction - Kolkata</t>
  </si>
  <si>
    <t>Andal Junction - Sealdah</t>
  </si>
  <si>
    <t>Andal - Kolkata</t>
  </si>
  <si>
    <t>India, West Bengal</t>
  </si>
  <si>
    <t>Andal - West Bengal</t>
  </si>
  <si>
    <t>India, Andhra Pradesh</t>
  </si>
  <si>
    <t>Andhra Pradesh - Aluva</t>
  </si>
  <si>
    <t>India, Amadalavalasa</t>
  </si>
  <si>
    <t>Andhra Pradesh - Amadalavalasa</t>
  </si>
  <si>
    <t>Andhra Pradesh - Anantapur</t>
  </si>
  <si>
    <t>India, Chennai</t>
  </si>
  <si>
    <t>Chirala - Chennai Central</t>
  </si>
  <si>
    <t>India, Dimapur</t>
  </si>
  <si>
    <t>Andhra Pradesh - Dimapur</t>
  </si>
  <si>
    <t>India, Duvvada</t>
  </si>
  <si>
    <t>Andhra Pradesh - Duvvada</t>
  </si>
  <si>
    <t>India, Eluru</t>
  </si>
  <si>
    <t>Andhra Pradesh - Eluru</t>
  </si>
  <si>
    <t>India, Guntur</t>
  </si>
  <si>
    <t>Andhra Pradesh - Guntur</t>
  </si>
  <si>
    <t>Secunderabad - Guntur Andhra Pradesh</t>
  </si>
  <si>
    <t>India, Habibganj</t>
  </si>
  <si>
    <t>Andhra Pradesh - Habibganj</t>
  </si>
  <si>
    <t>India, Katpadi</t>
  </si>
  <si>
    <t>Andhra Pradesh - Katpadi</t>
  </si>
  <si>
    <t>India, Kerala</t>
  </si>
  <si>
    <t>Andhra Pradesh - Kerala</t>
  </si>
  <si>
    <t>India, Kothapatnam</t>
  </si>
  <si>
    <t>Andhra Pradesh - Kothapatnam</t>
  </si>
  <si>
    <t>India, Lonavala</t>
  </si>
  <si>
    <t>Andhra Pradesh - Lonavala</t>
  </si>
  <si>
    <t>India, Machilipatnam</t>
  </si>
  <si>
    <t>Andhra Pradesh - Machilipatnam</t>
  </si>
  <si>
    <t>Secunderabad - Mangalore</t>
  </si>
  <si>
    <t>India, Mughalsarai</t>
  </si>
  <si>
    <t>Andhra Pradesh - Mughalsarai</t>
  </si>
  <si>
    <t>Secunderabad - Mysore</t>
  </si>
  <si>
    <t>India, Nagaland</t>
  </si>
  <si>
    <t>Andhra Pradesh - Nagaland</t>
  </si>
  <si>
    <t>India, Nellore</t>
  </si>
  <si>
    <t>Andhra Pradesh - Nellore</t>
  </si>
  <si>
    <t>India, Ongole</t>
  </si>
  <si>
    <t>Andhra Pradesh - Ongole</t>
  </si>
  <si>
    <t>India, Payakaraopeta</t>
  </si>
  <si>
    <t>Andhra Pradesh - Payakaraopeta</t>
  </si>
  <si>
    <t>India, Podanur</t>
  </si>
  <si>
    <t>Andhra Pradesh - Podanur</t>
  </si>
  <si>
    <t>India, Prayagraj</t>
  </si>
  <si>
    <t>Andhra Pradesh - Allahabad</t>
  </si>
  <si>
    <t>India, Puducherry</t>
  </si>
  <si>
    <t>Andhra Pradesh - Puducherry</t>
  </si>
  <si>
    <t>India, Puttaparthi</t>
  </si>
  <si>
    <t>Andhra Pradesh - Puttaparthi</t>
  </si>
  <si>
    <t>Andhra Pradesh - Rajasthan</t>
  </si>
  <si>
    <t>India, Ranchi</t>
  </si>
  <si>
    <t>Andhra Pradesh - Ranchi</t>
  </si>
  <si>
    <t>India, Samalkot</t>
  </si>
  <si>
    <t>Andhra Pradesh - Samalkot</t>
  </si>
  <si>
    <t>India, Satya Sai P Nilayam</t>
  </si>
  <si>
    <t>Andhra Pradesh - Satya Sai P Nilayam</t>
  </si>
  <si>
    <t>India, Srikakulam</t>
  </si>
  <si>
    <t>Andhra Pradesh - Srikakulam</t>
  </si>
  <si>
    <t>India, Srikalahasti</t>
  </si>
  <si>
    <t>Andhra Pradesh - Srikalahasti</t>
  </si>
  <si>
    <t>India, Srirangam</t>
  </si>
  <si>
    <t>Andhra Pradesh - Srirangam</t>
  </si>
  <si>
    <t>India, Taj Mahal</t>
  </si>
  <si>
    <t>Andhra Pradesh - Taj Mahal</t>
  </si>
  <si>
    <t>India, Tambaram</t>
  </si>
  <si>
    <t>Andhra Pradesh - Tambaram</t>
  </si>
  <si>
    <t>Secunderabad - Tiruchirapalli</t>
  </si>
  <si>
    <t>India, Ujjain</t>
  </si>
  <si>
    <t>Andhra Pradesh - Ujjain</t>
  </si>
  <si>
    <t>India, Vellore</t>
  </si>
  <si>
    <t>Andhra Pradesh - Vellore</t>
  </si>
  <si>
    <t>India, Vizianagram</t>
  </si>
  <si>
    <t>Andhra Pradesh - Vizianagram</t>
  </si>
  <si>
    <t>India, Warangal</t>
  </si>
  <si>
    <t>Andhra Pradesh - Warangal</t>
  </si>
  <si>
    <t>India, Angamaly</t>
  </si>
  <si>
    <t>Angamali - Payangadi</t>
  </si>
  <si>
    <t>India, Nagapattinam</t>
  </si>
  <si>
    <t>Angamali - Nagapattinam Junction</t>
  </si>
  <si>
    <t>India, Shoranur</t>
  </si>
  <si>
    <t>Angamali - Shoranur</t>
  </si>
  <si>
    <t>Angamaly - Shoranur</t>
  </si>
  <si>
    <t>India, Ankleshwar</t>
  </si>
  <si>
    <t>Ankleshwar Junction - Surat</t>
  </si>
  <si>
    <t>India, Ara</t>
  </si>
  <si>
    <t>Ara - Banaras</t>
  </si>
  <si>
    <t>Ara - Varanasi</t>
  </si>
  <si>
    <t>Ara - Varanasi Jn</t>
  </si>
  <si>
    <t>India, Asansol</t>
  </si>
  <si>
    <t>India, Siliguri</t>
  </si>
  <si>
    <t>Asansol Junction - New Jalpaiguri</t>
  </si>
  <si>
    <t>India, Assam</t>
  </si>
  <si>
    <t>India, Guwahati</t>
  </si>
  <si>
    <t>Moranhat - Guwahati</t>
  </si>
  <si>
    <t>India, Aurangabad</t>
  </si>
  <si>
    <t>Aurangabad - Ahmadnagar</t>
  </si>
  <si>
    <t>India, Jhansi</t>
  </si>
  <si>
    <t>Aurangabad - Jhansi</t>
  </si>
  <si>
    <t>Aurangabad - Virangana Lakshmibai</t>
  </si>
  <si>
    <t>Aurangabad - Lingampalli</t>
  </si>
  <si>
    <t>India, Azamgarh</t>
  </si>
  <si>
    <t>India, Barauni</t>
  </si>
  <si>
    <t>Azamgarh - Barauni</t>
  </si>
  <si>
    <t>Azamgarh - Barauni Junction</t>
  </si>
  <si>
    <t>India, Babhnan</t>
  </si>
  <si>
    <t>Babhnan - Anand Vihar Trm</t>
  </si>
  <si>
    <t>Babhnan - Delhi</t>
  </si>
  <si>
    <t>India, Badami</t>
  </si>
  <si>
    <t>India, Hassan</t>
  </si>
  <si>
    <t>Badami - Hassan</t>
  </si>
  <si>
    <t>Badnera Junction - Tirupati</t>
  </si>
  <si>
    <t>Badnera - Tirupati</t>
  </si>
  <si>
    <t>India, Balasore</t>
  </si>
  <si>
    <t>India, Angul</t>
  </si>
  <si>
    <t>Balasore - Angul</t>
  </si>
  <si>
    <t>Balasore - Chennai</t>
  </si>
  <si>
    <t>Balasore - Chennai Central</t>
  </si>
  <si>
    <t>India, Ballabgarh</t>
  </si>
  <si>
    <t>India, Bharatpur Rajasthan</t>
  </si>
  <si>
    <t>Ballabgarh - Bharatpur Jn</t>
  </si>
  <si>
    <t>Ballabgarh - Bharatpur Rajasthan</t>
  </si>
  <si>
    <t>India, Ballarpur</t>
  </si>
  <si>
    <t>Balharshah - Renigunta Junction</t>
  </si>
  <si>
    <t>Ballarpur - Tirupati</t>
  </si>
  <si>
    <t>India, Ballia</t>
  </si>
  <si>
    <t>India, Manmad</t>
  </si>
  <si>
    <t>Ballia - Manmad</t>
  </si>
  <si>
    <t>Ballia - Manmad Junction</t>
  </si>
  <si>
    <t>Ballia - Surat</t>
  </si>
  <si>
    <t>India, Balotra</t>
  </si>
  <si>
    <t>Balotra Junction - Kalyan Jn</t>
  </si>
  <si>
    <t>Balotra - Kalyan</t>
  </si>
  <si>
    <t>India, Banda India</t>
  </si>
  <si>
    <t>India, New Delhi</t>
  </si>
  <si>
    <t>Banda India - New Delhi</t>
  </si>
  <si>
    <t>Bandikui Junction - Delhi</t>
  </si>
  <si>
    <t>Bandikui Junction - Delhi Sarai Rohilla</t>
  </si>
  <si>
    <t>Bandikui Junction - New Delhi</t>
  </si>
  <si>
    <t>India, Bangalore</t>
  </si>
  <si>
    <t>Bangalore - Ahmadnagar</t>
  </si>
  <si>
    <t>Ksr Bangalore - Ahmadnagar</t>
  </si>
  <si>
    <t>New Bengaluru Terminal - Aluva</t>
  </si>
  <si>
    <t>Ksr Bangalore - Angamali</t>
  </si>
  <si>
    <t>India, Ankola</t>
  </si>
  <si>
    <t>Ksr Bangalore - Ankola</t>
  </si>
  <si>
    <t>India, Baindur</t>
  </si>
  <si>
    <t>Bangalore - Baindur</t>
  </si>
  <si>
    <t>Ksr Bangalore - Mookambika Road Byndoor</t>
  </si>
  <si>
    <t>Bangalore - Ballarpur</t>
  </si>
  <si>
    <t>Ksr Bangalore - Balharshah</t>
  </si>
  <si>
    <t>New Bengaluru Terminal - Balharshah</t>
  </si>
  <si>
    <t>India, Bantwal</t>
  </si>
  <si>
    <t>Yesvantpur - Bantawala</t>
  </si>
  <si>
    <t>India, Bidar</t>
  </si>
  <si>
    <t>Ksr Bangalore - Bidar</t>
  </si>
  <si>
    <t>Yelahanka Junction - Bidar</t>
  </si>
  <si>
    <t>Yesvantpur - Bidar</t>
  </si>
  <si>
    <t>India, Brahmapur</t>
  </si>
  <si>
    <t>Ksr Bangalore - Brahmapur</t>
  </si>
  <si>
    <t>New Bengaluru Terminal - Brahmapur</t>
  </si>
  <si>
    <t>India, Chandrapur</t>
  </si>
  <si>
    <t>Bangalore - Chandrapur</t>
  </si>
  <si>
    <t>Ksr Bangalore - Chandrapur</t>
  </si>
  <si>
    <t>New Bengaluru Terminal - Chandrapur</t>
  </si>
  <si>
    <t>Yesvantpur - Chandrapur</t>
  </si>
  <si>
    <t>India, Davanagere</t>
  </si>
  <si>
    <t>New Bengaluru Terminal - Davangere</t>
  </si>
  <si>
    <t>India, Dharwad</t>
  </si>
  <si>
    <t>New Bengaluru Terminal - Dharwar</t>
  </si>
  <si>
    <t>India, Dindigul</t>
  </si>
  <si>
    <t>New Bengaluru Terminal - Dindigul Junction</t>
  </si>
  <si>
    <t>India, Durg</t>
  </si>
  <si>
    <t>Bangalore - Durg</t>
  </si>
  <si>
    <t>Yesvantpur - Durg</t>
  </si>
  <si>
    <t>India, Gadag</t>
  </si>
  <si>
    <t>Bangalore - Gadag</t>
  </si>
  <si>
    <t>Ksr Bangalore - Gadag Junction</t>
  </si>
  <si>
    <t>Yesvantpur - Gadag Junction</t>
  </si>
  <si>
    <t>India, Ganagapur Road</t>
  </si>
  <si>
    <t>Bangalore - Ganagapur Road</t>
  </si>
  <si>
    <t>Ksr Bangalore - Ganagapur Road</t>
  </si>
  <si>
    <t>India, Goa</t>
  </si>
  <si>
    <t>New Bengaluru Terminal - Vasco Da Gama</t>
  </si>
  <si>
    <t>India, Gopalpur Odisha</t>
  </si>
  <si>
    <t>Bangalore - Gopalpur Odisha</t>
  </si>
  <si>
    <t>Ksr Bangalore - Guntur Junction</t>
  </si>
  <si>
    <t>New Bengaluru Terminal - Hassan</t>
  </si>
  <si>
    <t>India, Irinjalakuda</t>
  </si>
  <si>
    <t>Ksr Bangalore - Irinjalakuda</t>
  </si>
  <si>
    <t>India, Jabalpur</t>
  </si>
  <si>
    <t>New Bengaluru Terminal - Jabalpur</t>
  </si>
  <si>
    <t>India, Jolarpet</t>
  </si>
  <si>
    <t>Ksr Bangalore - Jolarpettai</t>
  </si>
  <si>
    <t>New Bengaluru Terminal - Jolarpettai</t>
  </si>
  <si>
    <t>India, Kakinada</t>
  </si>
  <si>
    <t>New Bengaluru Terminal - Kakinada Town</t>
  </si>
  <si>
    <t>Yelahanka Junction - Kalaburagi Junction</t>
  </si>
  <si>
    <t>India, Karur</t>
  </si>
  <si>
    <t>New Bengaluru Terminal - Karur</t>
  </si>
  <si>
    <t>India, Maddur</t>
  </si>
  <si>
    <t>Bangalore - Maddur</t>
  </si>
  <si>
    <t>Ksr Bangalore - Maddur</t>
  </si>
  <si>
    <t>New Bengaluru Terminal - Miraj Junction</t>
  </si>
  <si>
    <t>India, Mavelikara</t>
  </si>
  <si>
    <t>Bangalore - Adoor</t>
  </si>
  <si>
    <t>India, Nanded</t>
  </si>
  <si>
    <t>Bangalore - Nanded</t>
  </si>
  <si>
    <t>Ksr Bangalore - Nanded</t>
  </si>
  <si>
    <t>India, Patna</t>
  </si>
  <si>
    <t>New Bengaluru Terminal - Patliputra</t>
  </si>
  <si>
    <t>India, Pune</t>
  </si>
  <si>
    <t>New Bengaluru Terminal - Pune Jn</t>
  </si>
  <si>
    <t>India, Rayagada</t>
  </si>
  <si>
    <t>Bangalore - Rayagada</t>
  </si>
  <si>
    <t>New Bengaluru Terminal - Rayagada</t>
  </si>
  <si>
    <t>India, Tatanagar</t>
  </si>
  <si>
    <t>New Bengaluru Terminal - Tatanagar</t>
  </si>
  <si>
    <t>India, Tiruppur</t>
  </si>
  <si>
    <t>Ksr Bangalore - Tiruppur</t>
  </si>
  <si>
    <t>India, Tiruvallur</t>
  </si>
  <si>
    <t>Bangalore - Tiruvallur</t>
  </si>
  <si>
    <t>Ksr Bangalore - Tiruvallur</t>
  </si>
  <si>
    <t>India, Bapatla</t>
  </si>
  <si>
    <t>Bapatla - Ongole</t>
  </si>
  <si>
    <t>India, Barabanki</t>
  </si>
  <si>
    <t>India, Daryabad</t>
  </si>
  <si>
    <t>Barabanki Junction - Daryabad</t>
  </si>
  <si>
    <t>Barabanki - Daryabad</t>
  </si>
  <si>
    <t>Barabanki Junction - Delhi</t>
  </si>
  <si>
    <t>Bareilly - Aligarh Junction</t>
  </si>
  <si>
    <t>India, Chandigarh</t>
  </si>
  <si>
    <t>Bareilly - Chandigarh</t>
  </si>
  <si>
    <t>Bareilly - Haridwar Jn</t>
  </si>
  <si>
    <t>Bareilly - New Jalpaiguri</t>
  </si>
  <si>
    <t>Bareilly - Siliguri</t>
  </si>
  <si>
    <t>India, Barhiya</t>
  </si>
  <si>
    <t>India, Jasidih Deoghar</t>
  </si>
  <si>
    <t>Barhiya - Jasidih Deoghar</t>
  </si>
  <si>
    <t>Barhiya - Jasidih Junction</t>
  </si>
  <si>
    <t>India, Barmer</t>
  </si>
  <si>
    <t>Barmer - Mumbai</t>
  </si>
  <si>
    <t>India, Saharanpur</t>
  </si>
  <si>
    <t>Barmer - Saharanpur</t>
  </si>
  <si>
    <t>India, Basti</t>
  </si>
  <si>
    <t>Basti - Lokmanya Tilak Term</t>
  </si>
  <si>
    <t>India, Bathinda</t>
  </si>
  <si>
    <t>India, Kanpur</t>
  </si>
  <si>
    <t>Bathinda - Kanpur</t>
  </si>
  <si>
    <t>Bathinda - Kanpur Central</t>
  </si>
  <si>
    <t>India, Beas</t>
  </si>
  <si>
    <t>Beas - Maharashtra</t>
  </si>
  <si>
    <t>India, Begusarai</t>
  </si>
  <si>
    <t>Begu Sarai - Patliputra</t>
  </si>
  <si>
    <t>Begu Sarai - Patna Jn</t>
  </si>
  <si>
    <t>Begu Sarai - Rajendra Nagar</t>
  </si>
  <si>
    <t>India, Belagavi</t>
  </si>
  <si>
    <t>India, Ajmer</t>
  </si>
  <si>
    <t>Belgaum - Ajmer Jn</t>
  </si>
  <si>
    <t>Belgaum - Kalyan Jn</t>
  </si>
  <si>
    <t>Belagavi - Kalyan</t>
  </si>
  <si>
    <t>Belagavi - Maharashtra</t>
  </si>
  <si>
    <t>India, Navi Mumbai</t>
  </si>
  <si>
    <t>Belagavi - Navi Mumbai</t>
  </si>
  <si>
    <t>India, Pushkar</t>
  </si>
  <si>
    <t>Belagavi - Pushkar</t>
  </si>
  <si>
    <t>India, Belha</t>
  </si>
  <si>
    <t>Belha - Delhi</t>
  </si>
  <si>
    <t>Belha - Hazrat Nizamuddin</t>
  </si>
  <si>
    <t>Belha - New Delhi</t>
  </si>
  <si>
    <t>India, Bettiah</t>
  </si>
  <si>
    <t>Bettiah - Anand Vihar Trm</t>
  </si>
  <si>
    <t>India, Betul</t>
  </si>
  <si>
    <t>Betul - Agra</t>
  </si>
  <si>
    <t>Betul - Agra Cantt</t>
  </si>
  <si>
    <t>Betul - Delhi</t>
  </si>
  <si>
    <t>Betul - Delhi Safdarjung</t>
  </si>
  <si>
    <t>Betul - Hazrat Nizamuddin</t>
  </si>
  <si>
    <t>India, Jaipur</t>
  </si>
  <si>
    <t>Betul - Jaipur</t>
  </si>
  <si>
    <t>Betul - New Delhi</t>
  </si>
  <si>
    <t>Betul - Rajasthan</t>
  </si>
  <si>
    <t>India, Bhabua Road</t>
  </si>
  <si>
    <t>Bhabua Road - Allahabad</t>
  </si>
  <si>
    <t>Bhabua Road - Prayagraj Junction</t>
  </si>
  <si>
    <t>India, Bhadohi</t>
  </si>
  <si>
    <t>India, Lucknow</t>
  </si>
  <si>
    <t>Bhadohi - Lucknow</t>
  </si>
  <si>
    <t>Bhadohi - Lucknow Nr</t>
  </si>
  <si>
    <t>India, Bhadrakh</t>
  </si>
  <si>
    <t>Bhadrakh - Anand Vihar Trm</t>
  </si>
  <si>
    <t>Bhadrakh - New Delhi</t>
  </si>
  <si>
    <t>India, Bhagalpur</t>
  </si>
  <si>
    <t>India, Bihar</t>
  </si>
  <si>
    <t>Bhagalpur - Bihar</t>
  </si>
  <si>
    <t>India, Jammu and Kashmir</t>
  </si>
  <si>
    <t>Bhagalpur - Jammu And Kashmir</t>
  </si>
  <si>
    <t>India, Jammu Kashmir</t>
  </si>
  <si>
    <t>Bhagalpur - Jammu Kashmir</t>
  </si>
  <si>
    <t>Bhagalpur - Jasidih Deoghar</t>
  </si>
  <si>
    <t>Bhagalpur - Jasidih Junction</t>
  </si>
  <si>
    <t>Bharatpur Jn - Mathura Jn</t>
  </si>
  <si>
    <t>Bharatpur Rajasthan - Taj Mahal</t>
  </si>
  <si>
    <t>Bharatpur Rajasthan - Vrindavan</t>
  </si>
  <si>
    <t>India, Bharuch</t>
  </si>
  <si>
    <t>India, Daman</t>
  </si>
  <si>
    <t>Bharuch - Daman</t>
  </si>
  <si>
    <t>India, Gandhidham</t>
  </si>
  <si>
    <t>Bharuch Junction - Gandhidham Bg</t>
  </si>
  <si>
    <t>Bharuch - Gandhidham</t>
  </si>
  <si>
    <t>Bharuch Junction - Kalyan Jn</t>
  </si>
  <si>
    <t>Bharuch - Kalyan</t>
  </si>
  <si>
    <t>India, Kevadia</t>
  </si>
  <si>
    <t>Bharuch Junction - Ekta Nagar</t>
  </si>
  <si>
    <t>Bharuch - Kevadia</t>
  </si>
  <si>
    <t>India, Ratlam</t>
  </si>
  <si>
    <t>Bharuch Junction - Ratlam</t>
  </si>
  <si>
    <t>Bharuch - Ratlam</t>
  </si>
  <si>
    <t>India, Vapi</t>
  </si>
  <si>
    <t>Bharuch Junction - Vapi</t>
  </si>
  <si>
    <t>Bharuch - Vapi</t>
  </si>
  <si>
    <t>India, Bhatapara</t>
  </si>
  <si>
    <t>India, Visakhapatnam</t>
  </si>
  <si>
    <t>Bhatapara - Visakhapatnam</t>
  </si>
  <si>
    <t>India, Bhavnagar</t>
  </si>
  <si>
    <t>India, Anjuna</t>
  </si>
  <si>
    <t>Bhavnagar - Anjuna</t>
  </si>
  <si>
    <t>Bhavnagar - Maharashtra</t>
  </si>
  <si>
    <t>India, Bhilai</t>
  </si>
  <si>
    <t>India, Bhopal</t>
  </si>
  <si>
    <t>Bhilai Power House - Bhopal Jn</t>
  </si>
  <si>
    <t>Bhilai - Bhopal</t>
  </si>
  <si>
    <t>India, Madhya Pradesh</t>
  </si>
  <si>
    <t>Bhilai - Madhya Pradesh</t>
  </si>
  <si>
    <t>Bhilai - Varanasi</t>
  </si>
  <si>
    <t>India, Bhilwara</t>
  </si>
  <si>
    <t>Bhilwara - Daman</t>
  </si>
  <si>
    <t>India, Bhimavaram</t>
  </si>
  <si>
    <t>Bhimavaram Town - Duvvada</t>
  </si>
  <si>
    <t>Bhimavaram - Duvvada</t>
  </si>
  <si>
    <t>India, Bhitarkanika National Park</t>
  </si>
  <si>
    <t>India, Bhubaneswar</t>
  </si>
  <si>
    <t>Bhitarkanika National Park - Bhubaneswar</t>
  </si>
  <si>
    <t>Bhitarkanika National Park - Delhi</t>
  </si>
  <si>
    <t>Bhitarkanika National Park - New Delhi</t>
  </si>
  <si>
    <t>India, Odisha</t>
  </si>
  <si>
    <t>Bhitarkanika National Park - Odisha</t>
  </si>
  <si>
    <t>India, Bhiwani</t>
  </si>
  <si>
    <t>Bhiwani - Rajasthan</t>
  </si>
  <si>
    <t>Sant Hirdaram Nagar - Agra Cantt</t>
  </si>
  <si>
    <t>India, Amla</t>
  </si>
  <si>
    <t>Bhopal Jn - Amla Junction</t>
  </si>
  <si>
    <t>Bhopal - Amla</t>
  </si>
  <si>
    <t>Bhopal - Assam</t>
  </si>
  <si>
    <t>Bhopal Jn - Perambur</t>
  </si>
  <si>
    <t>India, Damoh</t>
  </si>
  <si>
    <t>Sant Hirdaram Nagar - Damoh</t>
  </si>
  <si>
    <t>Bhopal - Guwahati</t>
  </si>
  <si>
    <t>Rani Kamalapati - Guwahati</t>
  </si>
  <si>
    <t>Bhopal - Habibganj</t>
  </si>
  <si>
    <t>Sant Hirdaram Nagar - Mathura Jn</t>
  </si>
  <si>
    <t>Bhopal - Mughalsarai</t>
  </si>
  <si>
    <t>India, Pandhurna</t>
  </si>
  <si>
    <t>Bhopal Jn - Pandhurna</t>
  </si>
  <si>
    <t>Bhopal - Pandhurna</t>
  </si>
  <si>
    <t>Sant Hirdaram Nagar - Prayagraj Junction</t>
  </si>
  <si>
    <t>Bhopal - Prayagraj</t>
  </si>
  <si>
    <t>India, Punjab</t>
  </si>
  <si>
    <t>Bhopal - Punjab</t>
  </si>
  <si>
    <t>India, Sagar</t>
  </si>
  <si>
    <t>Sant Hirdaram Nagar - Saugor</t>
  </si>
  <si>
    <t>India, Somnath</t>
  </si>
  <si>
    <t>Bhopal - Somnath</t>
  </si>
  <si>
    <t>Bhopal Jn - Tambaram</t>
  </si>
  <si>
    <t>Bhopal - Tambaram</t>
  </si>
  <si>
    <t>India, Veraval</t>
  </si>
  <si>
    <t>Bhopal Jn - Veraval</t>
  </si>
  <si>
    <t>Bhopal - Veraval</t>
  </si>
  <si>
    <t>India, Vidisha</t>
  </si>
  <si>
    <t>Sant Hirdaram Nagar - Vidisha</t>
  </si>
  <si>
    <t>Bhubaneswar - Amadalavalasa</t>
  </si>
  <si>
    <t>Bhubaneswar - Bhadrakh</t>
  </si>
  <si>
    <t>Bhubaneswar - Bhitarkanika National Park</t>
  </si>
  <si>
    <t>India, Boinda</t>
  </si>
  <si>
    <t>Bhubaneswar - Boinda</t>
  </si>
  <si>
    <t>Bhubaneswar - Duvvada</t>
  </si>
  <si>
    <t>India, Kendujhar</t>
  </si>
  <si>
    <t>Bhubaneswar - Kendujhar</t>
  </si>
  <si>
    <t>Bhubaneswar - Kendujhargarh</t>
  </si>
  <si>
    <t>Bhubaneswar - Kopargaon</t>
  </si>
  <si>
    <t>Bhubaneswar - Lingampalli</t>
  </si>
  <si>
    <t>India, Shirdi</t>
  </si>
  <si>
    <t>Bhubaneswar - Sainagar Shirdi</t>
  </si>
  <si>
    <t>India, Simhachalam</t>
  </si>
  <si>
    <t>Bhubaneswar - Simhachalam</t>
  </si>
  <si>
    <t>Bhubaneswar - Srikakulam</t>
  </si>
  <si>
    <t>Bhubaneswar - Srikakulam Road</t>
  </si>
  <si>
    <t>Bhubaneswar - Tambaram</t>
  </si>
  <si>
    <t>India, Tundla</t>
  </si>
  <si>
    <t>Bhubaneswar - Tundla</t>
  </si>
  <si>
    <t>Bhubaneswar - Tundla Junction</t>
  </si>
  <si>
    <t>Bhubaneswar - Vrindavan</t>
  </si>
  <si>
    <t>India, Bhusaval</t>
  </si>
  <si>
    <t>Bhusaval Junction - Akola Junction</t>
  </si>
  <si>
    <t>Bhusaval - Akola</t>
  </si>
  <si>
    <t>India, Borivali</t>
  </si>
  <si>
    <t>Bhusaval Junction - Borivali</t>
  </si>
  <si>
    <t>Bhusaval - Borivali</t>
  </si>
  <si>
    <t>India, Chhattisgarh</t>
  </si>
  <si>
    <t>Bhusaval Junction - Raipur Jn</t>
  </si>
  <si>
    <t>Bhusaval - Chhattisgarh</t>
  </si>
  <si>
    <t>Bhusaval Junction - Howrah</t>
  </si>
  <si>
    <t>Bhusaval - Howrah</t>
  </si>
  <si>
    <t>Bhusaval Junction - Jalgaon Jn</t>
  </si>
  <si>
    <t>Bhusaval - Jalgaon</t>
  </si>
  <si>
    <t>Bhusaval Junction - Shalimar</t>
  </si>
  <si>
    <t>Bhusaval - Kolkata</t>
  </si>
  <si>
    <t>Bhusaval - Maharashtra</t>
  </si>
  <si>
    <t>Bhusaval Junction - Mumbai Cst</t>
  </si>
  <si>
    <t>Bhusaval Junction - Mumbai Dadar</t>
  </si>
  <si>
    <t>Bhusaval Junction - Prayagraj Junction</t>
  </si>
  <si>
    <t>Bhusaval - Allahabad</t>
  </si>
  <si>
    <t>India, Puri</t>
  </si>
  <si>
    <t>Bhusaval Junction - Puri</t>
  </si>
  <si>
    <t>Bhusaval - Puri</t>
  </si>
  <si>
    <t>India, Sevagram</t>
  </si>
  <si>
    <t>Bhusaval - Sevagram</t>
  </si>
  <si>
    <t>India, Wardha</t>
  </si>
  <si>
    <t>Bhusaval Junction - Wardha Junction</t>
  </si>
  <si>
    <t>Bhusaval - Wardha</t>
  </si>
  <si>
    <t>Bhusaval - West Bengal</t>
  </si>
  <si>
    <t>Bidar - Hyderabad</t>
  </si>
  <si>
    <t>Bidar - Hyderabad Decan</t>
  </si>
  <si>
    <t>Bidar - Kacheguda</t>
  </si>
  <si>
    <t>Bidar - Secunderabad</t>
  </si>
  <si>
    <t>India, Telangana</t>
  </si>
  <si>
    <t>Bidar - Telangana</t>
  </si>
  <si>
    <t>Bihar - Ara</t>
  </si>
  <si>
    <t>Bihar - Assam</t>
  </si>
  <si>
    <t>India, Bakhtiyarpur</t>
  </si>
  <si>
    <t>Bihar - Bakhtiyarpur</t>
  </si>
  <si>
    <t>Bihar - Barauni</t>
  </si>
  <si>
    <t>Bihar - Begusarai</t>
  </si>
  <si>
    <t>Bihar - Bhilai</t>
  </si>
  <si>
    <t>India, Bihta</t>
  </si>
  <si>
    <t>Bihar - Bihta</t>
  </si>
  <si>
    <t>India, Bilaspur</t>
  </si>
  <si>
    <t>Bihar - Bilaspur</t>
  </si>
  <si>
    <t>India, Deoghar</t>
  </si>
  <si>
    <t>Bihar - Deoghar</t>
  </si>
  <si>
    <t>India, Ernakulam</t>
  </si>
  <si>
    <t>Bihar - Ernakulam</t>
  </si>
  <si>
    <t>Bihar - Guwahati</t>
  </si>
  <si>
    <t>Nawadah - Howrah</t>
  </si>
  <si>
    <t>India, Itarsi</t>
  </si>
  <si>
    <t>Bihar - Itarsi</t>
  </si>
  <si>
    <t>India, Jainagar Bihar</t>
  </si>
  <si>
    <t>Bihar - Jainagar Bihar</t>
  </si>
  <si>
    <t>India, Jalpaiguri</t>
  </si>
  <si>
    <t>Bihar - Jalpaiguri</t>
  </si>
  <si>
    <t>India, Jamalpur</t>
  </si>
  <si>
    <t>Bihar - Jamalpur</t>
  </si>
  <si>
    <t>Bihar - Jammu And Kashmir</t>
  </si>
  <si>
    <t>Bihar - Jammu Kashmir</t>
  </si>
  <si>
    <t>India, Karnataka</t>
  </si>
  <si>
    <t>Bihar - Karnataka</t>
  </si>
  <si>
    <t>India, Katihar</t>
  </si>
  <si>
    <t>Bihar - Katihar</t>
  </si>
  <si>
    <t>Bihar - Katpadi</t>
  </si>
  <si>
    <t>Bihar - Kerala</t>
  </si>
  <si>
    <t>India, Khagaria</t>
  </si>
  <si>
    <t>Bihar - Khagaria</t>
  </si>
  <si>
    <t>India, Kishanganj</t>
  </si>
  <si>
    <t>Bihar - Kishanganj</t>
  </si>
  <si>
    <t>India, Kochi India</t>
  </si>
  <si>
    <t>Bihar - Kochi India</t>
  </si>
  <si>
    <t>India, Mansi</t>
  </si>
  <si>
    <t>Bihar - Mansi</t>
  </si>
  <si>
    <t>Bihar - Mathura</t>
  </si>
  <si>
    <t>India, Nagpur</t>
  </si>
  <si>
    <t>Bihar - Nagpur</t>
  </si>
  <si>
    <t>India, Nalanda</t>
  </si>
  <si>
    <t>Bihar - Nalanda</t>
  </si>
  <si>
    <t>Bihar - Prayagraj</t>
  </si>
  <si>
    <t>India, Purnia</t>
  </si>
  <si>
    <t>Bihar - Purnia</t>
  </si>
  <si>
    <t>India, Raxaul</t>
  </si>
  <si>
    <t>Bihar - Raxaul</t>
  </si>
  <si>
    <t>India, Samastipur</t>
  </si>
  <si>
    <t>Bihar - Samastipur</t>
  </si>
  <si>
    <t>India, Siwan</t>
  </si>
  <si>
    <t>Bihar - Siwan</t>
  </si>
  <si>
    <t>Bihar - Taj Mahal</t>
  </si>
  <si>
    <t>Bihar - Tatanagar</t>
  </si>
  <si>
    <t>Bihar - Tundla</t>
  </si>
  <si>
    <t>Bihar - Ujjain</t>
  </si>
  <si>
    <t>Bihar - Vadodara</t>
  </si>
  <si>
    <t>Bihar - Vrindavan</t>
  </si>
  <si>
    <t>Nepal, Birgunj</t>
  </si>
  <si>
    <t>Bihar - Birgunj</t>
  </si>
  <si>
    <t>Bihta - Bihar</t>
  </si>
  <si>
    <t>India, Danapur</t>
  </si>
  <si>
    <t>Bihta - Danapur</t>
  </si>
  <si>
    <t>India, Bijapur</t>
  </si>
  <si>
    <t>Bijapur - Telangana</t>
  </si>
  <si>
    <t>India, Bikaner</t>
  </si>
  <si>
    <t>Bikaner Jn - Kalyan Jn</t>
  </si>
  <si>
    <t>Bikaner - Kalyan</t>
  </si>
  <si>
    <t>India, Roorkee</t>
  </si>
  <si>
    <t>Bikaner Jn - Roorkee</t>
  </si>
  <si>
    <t>India, Uttar Pradesh</t>
  </si>
  <si>
    <t>Bikaner - Uttar Pradesh</t>
  </si>
  <si>
    <t>Bilaspur Jn - Rani Kamalapati</t>
  </si>
  <si>
    <t>Usalapur - Delhi Safdarjung</t>
  </si>
  <si>
    <t>Bilaspur - Habibganj</t>
  </si>
  <si>
    <t>Bilaspur Jn - Secunderabad</t>
  </si>
  <si>
    <t>Bilaspur - Hyderabad</t>
  </si>
  <si>
    <t>India, Indore</t>
  </si>
  <si>
    <t>Bilaspur Jn - Indore Jn Bg</t>
  </si>
  <si>
    <t>Bilaspur - Indore</t>
  </si>
  <si>
    <t>Bilaspur - Punjab</t>
  </si>
  <si>
    <t>India, Raigarh</t>
  </si>
  <si>
    <t>Bilaspur Jn - Raigarh</t>
  </si>
  <si>
    <t>Bilaspur - Raigarh</t>
  </si>
  <si>
    <t>Bilaspur - Telangana</t>
  </si>
  <si>
    <t>India, Uttarakhand</t>
  </si>
  <si>
    <t>Bilaspur - Uttarakhand</t>
  </si>
  <si>
    <t>Bilaspur Jn - Vadodara</t>
  </si>
  <si>
    <t>Bilaspur - Vadodara</t>
  </si>
  <si>
    <t>Bilaspur Jn - Visakhapatnam</t>
  </si>
  <si>
    <t>Bilaspur - Visakhapatnam</t>
  </si>
  <si>
    <t>India, Bina</t>
  </si>
  <si>
    <t>Bina Junction - Delhi Safdarjung</t>
  </si>
  <si>
    <t>Bina Junction - New Delhi</t>
  </si>
  <si>
    <t>Bina - New Delhi</t>
  </si>
  <si>
    <t>Bina Junction - Saugor</t>
  </si>
  <si>
    <t>Bina - Sagar</t>
  </si>
  <si>
    <t>India, Boisar</t>
  </si>
  <si>
    <t>Boisar - Borivali</t>
  </si>
  <si>
    <t>Boisar - Surat</t>
  </si>
  <si>
    <t>Borivali - Boisar</t>
  </si>
  <si>
    <t>India, Dondaicha</t>
  </si>
  <si>
    <t>Bandra Terminus - Dondaicha</t>
  </si>
  <si>
    <t>Borivali - Dondaicha</t>
  </si>
  <si>
    <t>Bandra Terminus - Songadh</t>
  </si>
  <si>
    <t>India, Junagadh</t>
  </si>
  <si>
    <t>Bandra Terminus - Junagadh Junction</t>
  </si>
  <si>
    <t>Borivali - Junagadh</t>
  </si>
  <si>
    <t>Borivali - Junagadh Junction</t>
  </si>
  <si>
    <t>India, Khaira</t>
  </si>
  <si>
    <t>Borivali - Khaira</t>
  </si>
  <si>
    <t>India, Kim</t>
  </si>
  <si>
    <t>Borivali - Kim</t>
  </si>
  <si>
    <t>India, Kosamba</t>
  </si>
  <si>
    <t>Borivali - Kosamba</t>
  </si>
  <si>
    <t>Borivali - Kosamba Junction</t>
  </si>
  <si>
    <t>India, Mehsana</t>
  </si>
  <si>
    <t>Borivali - Mahesana Junction</t>
  </si>
  <si>
    <t>Borivali - Mehsana</t>
  </si>
  <si>
    <t>India, Mount Abu</t>
  </si>
  <si>
    <t>Borivali - Mount Abu</t>
  </si>
  <si>
    <t>Bandra Terminus - Rani</t>
  </si>
  <si>
    <t>India, Velankanni</t>
  </si>
  <si>
    <t>Bandra Terminus - Velankanni</t>
  </si>
  <si>
    <t>Borivali - Velankanni</t>
  </si>
  <si>
    <t>India, Vyara</t>
  </si>
  <si>
    <t>Borivali - Vyara</t>
  </si>
  <si>
    <t>Brahmapur - Chennai Central</t>
  </si>
  <si>
    <t>Brahmapur - Perambur</t>
  </si>
  <si>
    <t>India, Coimbatore</t>
  </si>
  <si>
    <t>Brahmapur - Coimbatore</t>
  </si>
  <si>
    <t>India, Cuttack</t>
  </si>
  <si>
    <t>Brahmapur - Cuttack</t>
  </si>
  <si>
    <t>Brahmapur - Hyderabad Decan</t>
  </si>
  <si>
    <t>Brahmapur - Santragachi Junction</t>
  </si>
  <si>
    <t>Brahmapur - Lingampalli</t>
  </si>
  <si>
    <t>India, Budaun</t>
  </si>
  <si>
    <t>Budaun - Mathura</t>
  </si>
  <si>
    <t>Budaun - Mathura Jn</t>
  </si>
  <si>
    <t>India, Buxar</t>
  </si>
  <si>
    <t>Buxar - Bangalore</t>
  </si>
  <si>
    <t>Buxar - New Bengaluru Terminal</t>
  </si>
  <si>
    <t>Buxar - Tatanagar</t>
  </si>
  <si>
    <t>India, Chalisgaon</t>
  </si>
  <si>
    <t>Chalisgaon - Delhi</t>
  </si>
  <si>
    <t>India, Ganaur</t>
  </si>
  <si>
    <t>Chandigarh - Ganaur</t>
  </si>
  <si>
    <t>Chandigarh - Abu Road</t>
  </si>
  <si>
    <t>Chandigarh - Mount Abu</t>
  </si>
  <si>
    <t>India, Chandipur</t>
  </si>
  <si>
    <t>Chandipur - Angul</t>
  </si>
  <si>
    <t>Chandipur - Howrah</t>
  </si>
  <si>
    <t>Chandipur - Kolkata</t>
  </si>
  <si>
    <t>Chandipur - Puri</t>
  </si>
  <si>
    <t>Chandipur - West Bengal</t>
  </si>
  <si>
    <t>Chandrapur - Maharashtra</t>
  </si>
  <si>
    <t>Chandrapur - Mumbai</t>
  </si>
  <si>
    <t>Chandrapur - Mumbai Cst</t>
  </si>
  <si>
    <t>Chandrapur - Sevagram</t>
  </si>
  <si>
    <t>Chandrapur - Wardha</t>
  </si>
  <si>
    <t>Chandrapur - Wardha Junction</t>
  </si>
  <si>
    <t>India, Changanaseri</t>
  </si>
  <si>
    <t>Changanaseri - Karnataka</t>
  </si>
  <si>
    <t>India, Charkhi Dadri</t>
  </si>
  <si>
    <t>Charkhi Dadri - Jaipur</t>
  </si>
  <si>
    <t>Charkhi Dadri - Rajasthan</t>
  </si>
  <si>
    <t>India, Chengalpattu</t>
  </si>
  <si>
    <t>Chengalpattu - Srirangam</t>
  </si>
  <si>
    <t>Chengalpattu - Tambaram</t>
  </si>
  <si>
    <t>India, Tenkasi</t>
  </si>
  <si>
    <t>Chengalpattu - Tenkasi</t>
  </si>
  <si>
    <t>Chengalpattu - Tenkasi Jn</t>
  </si>
  <si>
    <t>India, Chengannur</t>
  </si>
  <si>
    <t>Chengannur - Delhi</t>
  </si>
  <si>
    <t>India, Kottayam</t>
  </si>
  <si>
    <t>Chengannur - Kottayam</t>
  </si>
  <si>
    <t>Chengannur - Manipal</t>
  </si>
  <si>
    <t>Chengannur - New Delhi</t>
  </si>
  <si>
    <t>Chengannur - Renigunta Junction</t>
  </si>
  <si>
    <t>Chengannur - Tirupati</t>
  </si>
  <si>
    <t>India, Udupi</t>
  </si>
  <si>
    <t>Chengannur - Udupi</t>
  </si>
  <si>
    <t>India, Arakkonam</t>
  </si>
  <si>
    <t>Chennai Central - Arakkonam</t>
  </si>
  <si>
    <t>Chennai - Arakkonam</t>
  </si>
  <si>
    <t>Perambur - Arakkonam</t>
  </si>
  <si>
    <t>Chennai Central - Yelahanka Junction</t>
  </si>
  <si>
    <t>Chennai Central - Bapatla</t>
  </si>
  <si>
    <t>Chennai - Bapatla</t>
  </si>
  <si>
    <t>Perambur - Bapatla</t>
  </si>
  <si>
    <t>Chennai Central - Brahmapur</t>
  </si>
  <si>
    <t>Chennai - Brahmapur</t>
  </si>
  <si>
    <t>Perambur - Brahmapur</t>
  </si>
  <si>
    <t>Chennai - Buxar</t>
  </si>
  <si>
    <t>Perambur - Buxar</t>
  </si>
  <si>
    <t>Perambur - Chandigarh</t>
  </si>
  <si>
    <t>Chennai Central - Perambur</t>
  </si>
  <si>
    <t>Perambur - Chennai Central</t>
  </si>
  <si>
    <t>Perambur - Chennai Egmore</t>
  </si>
  <si>
    <t>Chennai - Deoghar</t>
  </si>
  <si>
    <t>Chennai - Gopalpur Odisha</t>
  </si>
  <si>
    <t>Chennai - Jasidih Deoghar</t>
  </si>
  <si>
    <t>Perambur - Jasidih Junction</t>
  </si>
  <si>
    <t>India, Kasaragod</t>
  </si>
  <si>
    <t>Chennai Central - Kasaragod</t>
  </si>
  <si>
    <t>Chennai Egmore - Kasaragod</t>
  </si>
  <si>
    <t>Chennai - Kasaragod</t>
  </si>
  <si>
    <t>Chennai - Kothapatnam</t>
  </si>
  <si>
    <t>Chennai - Mughalsarai</t>
  </si>
  <si>
    <t>Perambur - Nagpur</t>
  </si>
  <si>
    <t>Chennai Central - Ongole</t>
  </si>
  <si>
    <t>Perambur - Ongole</t>
  </si>
  <si>
    <t>India, Sankarankoil</t>
  </si>
  <si>
    <t>Chennai Egmore - Sankarankovil</t>
  </si>
  <si>
    <t>Chennai - Sankarankoil</t>
  </si>
  <si>
    <t>Chennai - Sevagram</t>
  </si>
  <si>
    <t>India, Sullurupeta</t>
  </si>
  <si>
    <t>Chennai Central - Sullurupeta</t>
  </si>
  <si>
    <t>Chennai - Sullurupeta</t>
  </si>
  <si>
    <t>India, Tamil Nadu</t>
  </si>
  <si>
    <t>Chennai Central - Avadi</t>
  </si>
  <si>
    <t>India, Thiruvarur</t>
  </si>
  <si>
    <t>Chennai Egmore - Thiruvarur Junction</t>
  </si>
  <si>
    <t>India, Valliyur</t>
  </si>
  <si>
    <t>Chennai Egmore - Valliyur</t>
  </si>
  <si>
    <t>Chennai Egmore - Velankanni</t>
  </si>
  <si>
    <t>India, Vridhachalam</t>
  </si>
  <si>
    <t>Perambur - Vriddhachalam Junction</t>
  </si>
  <si>
    <t>India, Walajah Road</t>
  </si>
  <si>
    <t>Chennai Central - Walajah Road Junction</t>
  </si>
  <si>
    <t>Chennai - Walajah Road</t>
  </si>
  <si>
    <t>Chennai Central - Wardha Junction</t>
  </si>
  <si>
    <t>Chennai - Wardha</t>
  </si>
  <si>
    <t>India, Yelhanka</t>
  </si>
  <si>
    <t>Chennai - Yelhanka</t>
  </si>
  <si>
    <t>India, Chhapra</t>
  </si>
  <si>
    <t>India, Gorakhpur</t>
  </si>
  <si>
    <t>Chhapra - Gorakhpur</t>
  </si>
  <si>
    <t>Chhapra - Kishanganj</t>
  </si>
  <si>
    <t>Chhapra - Aishbagh</t>
  </si>
  <si>
    <t>Chhapra - Gomti Nagar Lucknow</t>
  </si>
  <si>
    <t>Chhapra - Lucknow</t>
  </si>
  <si>
    <t>Chhapra - Lucknow Ne</t>
  </si>
  <si>
    <t>Chhapra - Lucknow Nr</t>
  </si>
  <si>
    <t>Chhapra - Varanasi</t>
  </si>
  <si>
    <t>Chhapra - Varanasi Jn</t>
  </si>
  <si>
    <t>India, Chhatarpur</t>
  </si>
  <si>
    <t>Maharaja Chhatrasal - Rani Kamalapati</t>
  </si>
  <si>
    <t>India, Gwalior</t>
  </si>
  <si>
    <t>Maharaja Chhatrasal - Gwalior Jn</t>
  </si>
  <si>
    <t>Chhatarpur - Gwalior</t>
  </si>
  <si>
    <t>Chhatarpur - Habibganj</t>
  </si>
  <si>
    <t>Chhatarpur - Madhya Pradesh</t>
  </si>
  <si>
    <t>Chhattisgarh - Deoghar</t>
  </si>
  <si>
    <t>India, Jamshedpur</t>
  </si>
  <si>
    <t>Chhattisgarh - Jamshedpur</t>
  </si>
  <si>
    <t>Raipur Jn - Santragachi Junction</t>
  </si>
  <si>
    <t>Chhattisgarh - Manmad</t>
  </si>
  <si>
    <t>Raipur Jn - Manmad Junction</t>
  </si>
  <si>
    <t>India, Nashik</t>
  </si>
  <si>
    <t>Chhattisgarh - Nashik</t>
  </si>
  <si>
    <t>Raipur Jn - Nasik Road</t>
  </si>
  <si>
    <t>India, Pipariya</t>
  </si>
  <si>
    <t>Chhattisgarh - Pipariya</t>
  </si>
  <si>
    <t>Raipur Jn - Pipariya</t>
  </si>
  <si>
    <t>Chhattisgarh - Punjab</t>
  </si>
  <si>
    <t>Chhattisgarh - Samastipur</t>
  </si>
  <si>
    <t>Raipur Jn - Samastipur Junction</t>
  </si>
  <si>
    <t>Chhattisgarh - Vrindavan</t>
  </si>
  <si>
    <t>India, Chidambaram</t>
  </si>
  <si>
    <t>India, Cuddalore</t>
  </si>
  <si>
    <t>Chidambaram - Tirupadripulyur</t>
  </si>
  <si>
    <t>India, Chiplun</t>
  </si>
  <si>
    <t>Chiplun - Kalyan</t>
  </si>
  <si>
    <t>Chiplun - Kalyan Jn</t>
  </si>
  <si>
    <t>Chiplun - Navi Mumbai</t>
  </si>
  <si>
    <t>India, Chirala</t>
  </si>
  <si>
    <t>Chirala - Lingampalli</t>
  </si>
  <si>
    <t>Chirala - Telangana</t>
  </si>
  <si>
    <t>Chirala - Tirupati</t>
  </si>
  <si>
    <t>India, Chitrakoot</t>
  </si>
  <si>
    <t>India, Khajuraho</t>
  </si>
  <si>
    <t>Chitrakoot - Khajuraho</t>
  </si>
  <si>
    <t>Chitrakot - Khajuraho</t>
  </si>
  <si>
    <t>Chitrakot - Varanasi Jn</t>
  </si>
  <si>
    <t>India, Churu</t>
  </si>
  <si>
    <t>Churu - Ahmedabad Jn</t>
  </si>
  <si>
    <t>Churu - Gujarat</t>
  </si>
  <si>
    <t>Coimbatore - Chandrapur</t>
  </si>
  <si>
    <t>India, Kavali</t>
  </si>
  <si>
    <t>Coimbatore - Kavali</t>
  </si>
  <si>
    <t>Coimbatore - Margao</t>
  </si>
  <si>
    <t>Coimbatore - Navi Mumbai</t>
  </si>
  <si>
    <t>India, North Goa</t>
  </si>
  <si>
    <t>Coimbatore - North Goa</t>
  </si>
  <si>
    <t>India, Rajahmundry</t>
  </si>
  <si>
    <t>Coimbatore - Rajahmundry</t>
  </si>
  <si>
    <t>Coimbatore - Taj Mahal</t>
  </si>
  <si>
    <t>Coimbatore - Dharmapuri</t>
  </si>
  <si>
    <t>India, Cooch Behar</t>
  </si>
  <si>
    <t>India, Haflong</t>
  </si>
  <si>
    <t>Cooch Behar - Haflong</t>
  </si>
  <si>
    <t>New Cooch Behar - New Haflong</t>
  </si>
  <si>
    <t>Cuddalore Port Junction - Tiruchchirappalli Junction</t>
  </si>
  <si>
    <t>Cuddalore - Tiruchirappalli</t>
  </si>
  <si>
    <t>India, Daltonganj</t>
  </si>
  <si>
    <t>India, Dehri on Sone</t>
  </si>
  <si>
    <t>Daltonganj - Dehri On Sone</t>
  </si>
  <si>
    <t>Danapur - Ara</t>
  </si>
  <si>
    <t>Danapur - Perambur</t>
  </si>
  <si>
    <t>Danapur - Kishanganj</t>
  </si>
  <si>
    <t>Danapur - Vadodara</t>
  </si>
  <si>
    <t>India, Darbhanga</t>
  </si>
  <si>
    <t>India, Sitamarhi</t>
  </si>
  <si>
    <t>Darbhanga - Sitamarhi</t>
  </si>
  <si>
    <t>Darbhanga - Sitamarhi Jn</t>
  </si>
  <si>
    <t>India, Dausa</t>
  </si>
  <si>
    <t>Dausa - Delhi Cantt</t>
  </si>
  <si>
    <t>India, Hubballi Dharwad</t>
  </si>
  <si>
    <t>Davanagere - Hubballi Dharwad</t>
  </si>
  <si>
    <t>India, Hubli</t>
  </si>
  <si>
    <t>Davanagere - Hubli</t>
  </si>
  <si>
    <t>Davangere - Hubballi Jn</t>
  </si>
  <si>
    <t>Davanagere - Manmad</t>
  </si>
  <si>
    <t>Davangere - Manmad Junction</t>
  </si>
  <si>
    <t>India, Dehradun</t>
  </si>
  <si>
    <t>Dehradun - Lucknow Ne</t>
  </si>
  <si>
    <t>India, Rudrapur</t>
  </si>
  <si>
    <t>Dehradun - Rudrapur City</t>
  </si>
  <si>
    <t>Delhi - Ahmadnagar</t>
  </si>
  <si>
    <t>Hazrat Nizamuddin - Ahmadnagar</t>
  </si>
  <si>
    <t>Sabzi Mandi - Aligarh Junction</t>
  </si>
  <si>
    <t>India, Arunachal Pradesh</t>
  </si>
  <si>
    <t>Delhi - Arunachal Pradesh</t>
  </si>
  <si>
    <t>Delhi Shahdara Jn - Bandikui Junction</t>
  </si>
  <si>
    <t>India, Barsoi</t>
  </si>
  <si>
    <t>Anand Vihar Trm - Barsoi Junction</t>
  </si>
  <si>
    <t>Delhi - Barsoi</t>
  </si>
  <si>
    <t>Delhi - Barsoi Junction</t>
  </si>
  <si>
    <t>Anand Vihar Trm - Basti</t>
  </si>
  <si>
    <t>Delhi Shahdara Jn - Beas</t>
  </si>
  <si>
    <t>Anand Vihar Trm - Bhabua Road</t>
  </si>
  <si>
    <t>Anand Vihar Trm - Buxar</t>
  </si>
  <si>
    <t>India, Chandausi</t>
  </si>
  <si>
    <t>Anand Vihar Trm - Chandausi Junction</t>
  </si>
  <si>
    <t>Delhi - Chandausi</t>
  </si>
  <si>
    <t>Delhi - Chandausi Junction</t>
  </si>
  <si>
    <t>Anand Vihar Trm - Chhapra</t>
  </si>
  <si>
    <t>Anand Vihar Trm - New Cooch Behar</t>
  </si>
  <si>
    <t>Delhi - Deoghar</t>
  </si>
  <si>
    <t>India, Dwarka</t>
  </si>
  <si>
    <t>Delhi Cantt - Dwarka</t>
  </si>
  <si>
    <t>Sabzi Mandi - Firozabad</t>
  </si>
  <si>
    <t>India, Gajraula</t>
  </si>
  <si>
    <t>Delhi Cantt - Gajraula Junction</t>
  </si>
  <si>
    <t>India, Gotan</t>
  </si>
  <si>
    <t>Delhi Sarai Rohilla - Gotan</t>
  </si>
  <si>
    <t>Delhi - Gotan</t>
  </si>
  <si>
    <t>Anand Vihar Trm - Jalpaiguri Road</t>
  </si>
  <si>
    <t>India, Jamui</t>
  </si>
  <si>
    <t>Delhi - Jamui</t>
  </si>
  <si>
    <t>India, Jarwal Road</t>
  </si>
  <si>
    <t>Delhi - Jarwal Road</t>
  </si>
  <si>
    <t>India, Jaunpur</t>
  </si>
  <si>
    <t>Anand Vihar Trm - Jaunpur Junction</t>
  </si>
  <si>
    <t>Anand Vihar Trm - Govindpuri</t>
  </si>
  <si>
    <t>Delhi Cantt - Katihar Junction</t>
  </si>
  <si>
    <t>Delhi - Katihar Junction</t>
  </si>
  <si>
    <t>Sabzi Mandi - Katihar Junction</t>
  </si>
  <si>
    <t>India, Katni</t>
  </si>
  <si>
    <t>Hazrat Nizamuddin - Katni</t>
  </si>
  <si>
    <t>Hazrat Nizamuddin - Katni Murwara</t>
  </si>
  <si>
    <t>India, Khurja</t>
  </si>
  <si>
    <t>Delhi - Khurja</t>
  </si>
  <si>
    <t>Delhi - Khurja Junction</t>
  </si>
  <si>
    <t>Sabzi Mandi - Khurja Junction</t>
  </si>
  <si>
    <t>India, Kiul</t>
  </si>
  <si>
    <t>Delhi - Kiul Junction</t>
  </si>
  <si>
    <t>India, Kokrajhar</t>
  </si>
  <si>
    <t>Delhi - Kokrajhar</t>
  </si>
  <si>
    <t>India, Mainpuri</t>
  </si>
  <si>
    <t>Delhi - Mainpuri</t>
  </si>
  <si>
    <t>India, Muzaffarpur</t>
  </si>
  <si>
    <t>Sabzi Mandi - Muzaffarpur Junction</t>
  </si>
  <si>
    <t>India, Narnaul</t>
  </si>
  <si>
    <t>Delhi Sarai Rohilla - Narnaul</t>
  </si>
  <si>
    <t>Sabzi Mandi - Prayagraj Junction</t>
  </si>
  <si>
    <t>Delhi Sarai Rohilla - Rampura Phul</t>
  </si>
  <si>
    <t>India, Rampur</t>
  </si>
  <si>
    <t>Delhi Cantt - Rampur</t>
  </si>
  <si>
    <t>Sabzi Mandi - Ranchi</t>
  </si>
  <si>
    <t>India, Ratnagiri</t>
  </si>
  <si>
    <t>Hazrat Nizamuddin - Ratnagiri</t>
  </si>
  <si>
    <t>India, Saharsa</t>
  </si>
  <si>
    <t>Delhi - Saharsa</t>
  </si>
  <si>
    <t>Sabzi Mandi - Samastipur Junction</t>
  </si>
  <si>
    <t>India, Shahganj</t>
  </si>
  <si>
    <t>Anand Vihar Trm - Shahganj Junction</t>
  </si>
  <si>
    <t>Delhi Cantt - Shahganj Junction</t>
  </si>
  <si>
    <t>Delhi - Shahganj</t>
  </si>
  <si>
    <t>Delhi - Shahganj Junction</t>
  </si>
  <si>
    <t>India, Sirhind</t>
  </si>
  <si>
    <t>Delhi Cantt - Sirhind Junction</t>
  </si>
  <si>
    <t>Delhi Shahdara Jn - Sirhind Junction</t>
  </si>
  <si>
    <t>Delhi - Sirhind Junction</t>
  </si>
  <si>
    <t>Hazrat Nizamuddin - Sirhind Junction</t>
  </si>
  <si>
    <t>Delhi - Tambaram</t>
  </si>
  <si>
    <t>Hazrat Nizamuddin - Tambaram</t>
  </si>
  <si>
    <t>Sabzi Mandi - Tatanagar</t>
  </si>
  <si>
    <t>India, Zamania</t>
  </si>
  <si>
    <t>Delhi - Zamania</t>
  </si>
  <si>
    <t>Deoghar - Bihar</t>
  </si>
  <si>
    <t>Deoghar Junction - Howrah</t>
  </si>
  <si>
    <t>Deoghar - Howrah</t>
  </si>
  <si>
    <t>India, Jharkhand</t>
  </si>
  <si>
    <t>Deoghar - Jharkhand</t>
  </si>
  <si>
    <t>Deoghar - Mughalsarai</t>
  </si>
  <si>
    <t>Deoghar - West Bengal</t>
  </si>
  <si>
    <t>India, Dewas</t>
  </si>
  <si>
    <t>India, Kota</t>
  </si>
  <si>
    <t>Dewas - Kota</t>
  </si>
  <si>
    <t>Dewas - Kota Jn</t>
  </si>
  <si>
    <t>Dewas - Mumbai Central</t>
  </si>
  <si>
    <t>Dewas - Nagda</t>
  </si>
  <si>
    <t>Dewas - Nagda Junction</t>
  </si>
  <si>
    <t>India, Dhanbad</t>
  </si>
  <si>
    <t>India, Hazaribagh</t>
  </si>
  <si>
    <t>Dhanbad Junction - Hazaribagh Town</t>
  </si>
  <si>
    <t>Dhanbad Junction - Tetulmari</t>
  </si>
  <si>
    <t>Dhanbad - Jharkhand</t>
  </si>
  <si>
    <t>India, Ludhiana</t>
  </si>
  <si>
    <t>Dhanbad Junction - Ludhiana</t>
  </si>
  <si>
    <t>Dhanbad - Ludhiana</t>
  </si>
  <si>
    <t>Dharwad - Hassan</t>
  </si>
  <si>
    <t>India, Dhupguri</t>
  </si>
  <si>
    <t>India, Naihati Jn</t>
  </si>
  <si>
    <t>Dhupguri - Naihati Jn</t>
  </si>
  <si>
    <t>Dhupguri - Naihati Junction</t>
  </si>
  <si>
    <t>India, Dhuri</t>
  </si>
  <si>
    <t>Dhuri - Amritsar</t>
  </si>
  <si>
    <t>India, Dibrugarh</t>
  </si>
  <si>
    <t>India, Jagiroad</t>
  </si>
  <si>
    <t>Dibrugarh - Jagi Road</t>
  </si>
  <si>
    <t>Dibrugarh - Jagiroad</t>
  </si>
  <si>
    <t>India, Doiwala</t>
  </si>
  <si>
    <t>India, Haryana</t>
  </si>
  <si>
    <t>Doiwala - Haryana</t>
  </si>
  <si>
    <t>Doiwala - Punjab</t>
  </si>
  <si>
    <t>Durg - Mathura</t>
  </si>
  <si>
    <t>Durg - Mathura Jn</t>
  </si>
  <si>
    <t>Durg - Vrindavan</t>
  </si>
  <si>
    <t>Dwarka - Anand Gujarat</t>
  </si>
  <si>
    <t>Dwarka - Anand Jn</t>
  </si>
  <si>
    <t>India, Okha</t>
  </si>
  <si>
    <t>Dwarka - Okha</t>
  </si>
  <si>
    <t>Eluru - Andhra Pradesh</t>
  </si>
  <si>
    <t>Eluru - Delhi</t>
  </si>
  <si>
    <t>Eluru - Guntur Junction</t>
  </si>
  <si>
    <t>Eluru - Howrah</t>
  </si>
  <si>
    <t>Eluru - Kolkata</t>
  </si>
  <si>
    <t>Eluru - Shalimar</t>
  </si>
  <si>
    <t>Eluru - New Delhi</t>
  </si>
  <si>
    <t>India, Vijayawada</t>
  </si>
  <si>
    <t>Eluru - Vijayawada Jn</t>
  </si>
  <si>
    <t>Eluru - West Bengal</t>
  </si>
  <si>
    <t>Ernakulam - Aluva</t>
  </si>
  <si>
    <t>Ernakulam - Bhusaval</t>
  </si>
  <si>
    <t>India, Chalakudy</t>
  </si>
  <si>
    <t>Ernakulam - Chalakudy</t>
  </si>
  <si>
    <t>Ernakulam - Irinjalakuda</t>
  </si>
  <si>
    <t>India, Karaikal</t>
  </si>
  <si>
    <t>Ernakulam - Karaikal</t>
  </si>
  <si>
    <t>Ernakulam - Ludhiana</t>
  </si>
  <si>
    <t>Ernakulam - Manipal</t>
  </si>
  <si>
    <t>Ernakulam - Margao</t>
  </si>
  <si>
    <t>India, Muniguda</t>
  </si>
  <si>
    <t>Ernakulam - Muniguda</t>
  </si>
  <si>
    <t>Ernakulam - Nagapattinam</t>
  </si>
  <si>
    <t>Ernakulam - Nashik</t>
  </si>
  <si>
    <t>Ernakulam - Navi Mumbai</t>
  </si>
  <si>
    <t>India, Pattambi</t>
  </si>
  <si>
    <t>Ernakulam - Pattambi</t>
  </si>
  <si>
    <t>Ernakulam - Siliguri</t>
  </si>
  <si>
    <t>India, Solapur</t>
  </si>
  <si>
    <t>Ernakulam - Solapur</t>
  </si>
  <si>
    <t>Ernakulam - Srirangam</t>
  </si>
  <si>
    <t>Ernakulam - Tenkasi</t>
  </si>
  <si>
    <t>India, Tirunelveli</t>
  </si>
  <si>
    <t>Ernakulam - Tirunelveli</t>
  </si>
  <si>
    <t>India, Erode</t>
  </si>
  <si>
    <t>Erode - Broadmeadow</t>
  </si>
  <si>
    <t>Erode - Newcastle New South Wales</t>
  </si>
  <si>
    <t>Erode - Karaikal</t>
  </si>
  <si>
    <t>Erode - Katpadi</t>
  </si>
  <si>
    <t>Erode - Katpadi Junction</t>
  </si>
  <si>
    <t>India, Kovilpatti</t>
  </si>
  <si>
    <t>Erode - Kovilpatti</t>
  </si>
  <si>
    <t>Erode - Maharashtra</t>
  </si>
  <si>
    <t>Erode - Mangalore</t>
  </si>
  <si>
    <t>Erode - Mangalore Central</t>
  </si>
  <si>
    <t>Erode - Lokmanya Tilak Term</t>
  </si>
  <si>
    <t>Erode - Tambaram</t>
  </si>
  <si>
    <t>India, Villupuram</t>
  </si>
  <si>
    <t>Erode - Villuparam Junction</t>
  </si>
  <si>
    <t>Erode - Villupuram</t>
  </si>
  <si>
    <t>India, Virudhunagar</t>
  </si>
  <si>
    <t>Erode - Virudhunagar</t>
  </si>
  <si>
    <t>Erode - Virudunagar Junction</t>
  </si>
  <si>
    <t>Ayodhya Cantt - Howrah</t>
  </si>
  <si>
    <t>Ayodhya Cantt - Ujjain</t>
  </si>
  <si>
    <t>India, Faridabad</t>
  </si>
  <si>
    <t>Faridabad - Ludhiana</t>
  </si>
  <si>
    <t>India, Pathankot</t>
  </si>
  <si>
    <t>Faridabad - Pathankot</t>
  </si>
  <si>
    <t>Faridabad - Pathankot Cantt</t>
  </si>
  <si>
    <t>Gadag Junction - Ksr Bangalore</t>
  </si>
  <si>
    <t>Gadag Junction - New Bengaluru Terminal</t>
  </si>
  <si>
    <t>Gadag Junction - Yesvantpur</t>
  </si>
  <si>
    <t>Gadag - Bangalore</t>
  </si>
  <si>
    <t>Ganaur - Delhi</t>
  </si>
  <si>
    <t>Ganaur - New Delhi</t>
  </si>
  <si>
    <t>Ganaur - Vrindavan</t>
  </si>
  <si>
    <t>Gandhidham Bg - Delhi</t>
  </si>
  <si>
    <t>India, Gandhinagar</t>
  </si>
  <si>
    <t>Gandhidham Bg - Gandhinagar Capital</t>
  </si>
  <si>
    <t>Gandhidham - New Delhi</t>
  </si>
  <si>
    <t>Gandhidham Bg - Surat</t>
  </si>
  <si>
    <t>Gandhidham - Surat</t>
  </si>
  <si>
    <t>Gandhinagar - Jammu</t>
  </si>
  <si>
    <t>Gandhinagar - Jammu And Kashmir</t>
  </si>
  <si>
    <t>Gandhinagar - Jammu Kashmir</t>
  </si>
  <si>
    <t>India, Garwa Road</t>
  </si>
  <si>
    <t>Garwa Road - New Delhi</t>
  </si>
  <si>
    <t>India, Gaya</t>
  </si>
  <si>
    <t>India, Ghaziabad</t>
  </si>
  <si>
    <t>Gaya - Ghaziabad</t>
  </si>
  <si>
    <t>India, Malda</t>
  </si>
  <si>
    <t>Gaya Jn - Malda Town</t>
  </si>
  <si>
    <t>Gaya - Malda</t>
  </si>
  <si>
    <t>Gaya - Odisha</t>
  </si>
  <si>
    <t>Gaya - Rajasthan</t>
  </si>
  <si>
    <t>Ghaziabad - Bhubaneswar</t>
  </si>
  <si>
    <t>India, Kurukshetra</t>
  </si>
  <si>
    <t>Ghaziabad - Kurukshetra</t>
  </si>
  <si>
    <t>Ghaziabad - Nanded</t>
  </si>
  <si>
    <t>Ghaziabad - Odisha</t>
  </si>
  <si>
    <t>India, Ghazipur</t>
  </si>
  <si>
    <t>Ghazipur City - Kolkata</t>
  </si>
  <si>
    <t>Ghazipur - Kolkata</t>
  </si>
  <si>
    <t>Madgaon - New Bengaluru Terminal</t>
  </si>
  <si>
    <t>Vasco Da Gama - New Bengaluru Terminal</t>
  </si>
  <si>
    <t>Thivim - Bandra Terminus</t>
  </si>
  <si>
    <t>India, Gokak</t>
  </si>
  <si>
    <t>Goa - Gokak</t>
  </si>
  <si>
    <t>India, Kadapa</t>
  </si>
  <si>
    <t>Goa - Kadapa</t>
  </si>
  <si>
    <t>Vasco Da Gama - Cuddapah</t>
  </si>
  <si>
    <t>Vasco Da Gama - Ghatprabha</t>
  </si>
  <si>
    <t>Goa - Ratlam</t>
  </si>
  <si>
    <t>Vasco Da Gama - Tirupati</t>
  </si>
  <si>
    <t>Goa - Velankanni</t>
  </si>
  <si>
    <t>India, Gokarna</t>
  </si>
  <si>
    <t>Gokarna Road - Karmali</t>
  </si>
  <si>
    <t>India, Gola Gokarannath</t>
  </si>
  <si>
    <t>Gola Gokaranath - Gomti Nagar Lucknow</t>
  </si>
  <si>
    <t>Gola Gokarannath - Lucknow</t>
  </si>
  <si>
    <t>India, Golokganj</t>
  </si>
  <si>
    <t>Golokganj - Assam</t>
  </si>
  <si>
    <t>Golakganj Junction - Guwahati</t>
  </si>
  <si>
    <t>Golakganj Junction - Kamakhya</t>
  </si>
  <si>
    <t>Golokganj - Guwahati</t>
  </si>
  <si>
    <t>India, Gonda</t>
  </si>
  <si>
    <t>India, Bahraich</t>
  </si>
  <si>
    <t>Gonda Jn - Bahraich</t>
  </si>
  <si>
    <t>Gonda - Bahraich</t>
  </si>
  <si>
    <t>Gonda Jn - Mathura Jn</t>
  </si>
  <si>
    <t>Gonda - Mathura</t>
  </si>
  <si>
    <t>Gonda - Navi Mumbai</t>
  </si>
  <si>
    <t>Gonda - Vrindavan</t>
  </si>
  <si>
    <t>India, Gondia</t>
  </si>
  <si>
    <t>Gondia Junction - Hazrat Nizamuddin</t>
  </si>
  <si>
    <t>Gondia - Delhi</t>
  </si>
  <si>
    <t>Gondia Junction - Indore Jn Bg</t>
  </si>
  <si>
    <t>Gondia - Indore</t>
  </si>
  <si>
    <t>Gondia - Madhya Pradesh</t>
  </si>
  <si>
    <t>Gondia Junction - New Delhi</t>
  </si>
  <si>
    <t>Gondia - New Delhi</t>
  </si>
  <si>
    <t>Gondia - Telangana</t>
  </si>
  <si>
    <t>Gooty - Pondicherry</t>
  </si>
  <si>
    <t>Gooty - Puducherry</t>
  </si>
  <si>
    <t>Gooty - Renigunta Junction</t>
  </si>
  <si>
    <t>Gooty - Tirupati</t>
  </si>
  <si>
    <t>Gooty - Yelhanka</t>
  </si>
  <si>
    <t>Gopalpur Odisha - Bangalore</t>
  </si>
  <si>
    <t>Gopalpur Odisha - Chennai</t>
  </si>
  <si>
    <t>Gopalpur Odisha - Chhattisgarh</t>
  </si>
  <si>
    <t>Gopalpur Odisha - Coimbatore</t>
  </si>
  <si>
    <t>Gopalpur Odisha - Howrah</t>
  </si>
  <si>
    <t>Gopalpur Odisha - Hyderabad</t>
  </si>
  <si>
    <t>India, Khurda</t>
  </si>
  <si>
    <t>Gopalpur Odisha - Khurda</t>
  </si>
  <si>
    <t>Gopalpur Odisha - Kolkata</t>
  </si>
  <si>
    <t>Gopalpur Odisha - Lingampalli</t>
  </si>
  <si>
    <t>Gopalpur Odisha - Puri</t>
  </si>
  <si>
    <t>India, Raipur</t>
  </si>
  <si>
    <t>Gopalpur Odisha - Raipur</t>
  </si>
  <si>
    <t>Gopalpur Odisha - Tamil Nadu</t>
  </si>
  <si>
    <t>Gopalpur Odisha - Telangana</t>
  </si>
  <si>
    <t>Gopalpur Odisha - Visakhapatnam</t>
  </si>
  <si>
    <t>Gopalpur Odisha - West Bengal</t>
  </si>
  <si>
    <t>Gorakhpur - Ambala City</t>
  </si>
  <si>
    <t>Gorakhpur - Assam</t>
  </si>
  <si>
    <t>Gorakhpur - Basti</t>
  </si>
  <si>
    <t>Gorakhpur - Daman</t>
  </si>
  <si>
    <t>Gorakhpur - Guwahati</t>
  </si>
  <si>
    <t>Gorakhpur - Kamakhya</t>
  </si>
  <si>
    <t>Gorakhpur - Habibganj</t>
  </si>
  <si>
    <t>India, Haldwani</t>
  </si>
  <si>
    <t>Gorakhpur - Haldwani</t>
  </si>
  <si>
    <t>Gorakhpur - Jammu Tawi</t>
  </si>
  <si>
    <t>Gorakhpur - Jammu And Kashmir</t>
  </si>
  <si>
    <t>Gorakhpur - Prayagraj</t>
  </si>
  <si>
    <t>Gorakhpur - Samastipur</t>
  </si>
  <si>
    <t>Gorakhpur - Samastipur Junction</t>
  </si>
  <si>
    <t>India, Satna</t>
  </si>
  <si>
    <t>Gorakhpur - Satna</t>
  </si>
  <si>
    <t>Gorakhpur - Siwan</t>
  </si>
  <si>
    <t>Gorakhpur - Siwan Junction</t>
  </si>
  <si>
    <t>India, Sujangarh Rajasthan</t>
  </si>
  <si>
    <t>Gorakhpur - Sujangarh</t>
  </si>
  <si>
    <t>Gorakhpur - Sujangarh Rajasthan</t>
  </si>
  <si>
    <t>Gorakhpur - Tamil Nadu</t>
  </si>
  <si>
    <t>India, Tinsukia</t>
  </si>
  <si>
    <t>Gorakhpur - Tinsukia</t>
  </si>
  <si>
    <t>Gujarat - Abhaneri</t>
  </si>
  <si>
    <t>Maliya Hatina - Ahmedabad Jn</t>
  </si>
  <si>
    <t>Gujarat - Akola</t>
  </si>
  <si>
    <t>Gujarat - Amravati</t>
  </si>
  <si>
    <t>Gujarat - Bandikui</t>
  </si>
  <si>
    <t>Palanpur Junction - Bandra Terminus</t>
  </si>
  <si>
    <t>Gujarat - Chhatarpur</t>
  </si>
  <si>
    <t>Adipur - Gandhinagar Capital</t>
  </si>
  <si>
    <t>Bhatiya - Junagadh Junction</t>
  </si>
  <si>
    <t>Gujarat - Karwar</t>
  </si>
  <si>
    <t>Gujarat - Khajuraho</t>
  </si>
  <si>
    <t>Gujarat - Kopargaon</t>
  </si>
  <si>
    <t>Gujarat - Kosamba</t>
  </si>
  <si>
    <t>Gujarat - Manipal</t>
  </si>
  <si>
    <t>India, Mau</t>
  </si>
  <si>
    <t>Gujarat - Mau</t>
  </si>
  <si>
    <t>Gujarat - Nagda</t>
  </si>
  <si>
    <t>Gujarat - Orai</t>
  </si>
  <si>
    <t>India, Sadulpur</t>
  </si>
  <si>
    <t>Gujarat - Sadulpur</t>
  </si>
  <si>
    <t>India, Samakhiali</t>
  </si>
  <si>
    <t>Gujarat - Samakhiali</t>
  </si>
  <si>
    <t>Gujarat - Satna</t>
  </si>
  <si>
    <t>India, Una Himachal</t>
  </si>
  <si>
    <t>Gujarat - Una Himachal</t>
  </si>
  <si>
    <t>Gujarat - Vidisha</t>
  </si>
  <si>
    <t>Gujarat - Vyara</t>
  </si>
  <si>
    <t>India, Guna</t>
  </si>
  <si>
    <t>Guna - Bina</t>
  </si>
  <si>
    <t>Guna - Bina Junction</t>
  </si>
  <si>
    <t>India, Shivpuri Madhya Pradesh</t>
  </si>
  <si>
    <t>Guna - Shivpuri</t>
  </si>
  <si>
    <t>India, Annavaram</t>
  </si>
  <si>
    <t>Guntur Andhra Pradesh - Annavaram</t>
  </si>
  <si>
    <t>Guntur - Annavaram</t>
  </si>
  <si>
    <t>Guntur Junction - Yelahanka Junction</t>
  </si>
  <si>
    <t>Guntur Junction - Kurnool Town</t>
  </si>
  <si>
    <t>Guntur - Kurnool</t>
  </si>
  <si>
    <t>Guntur - Margao</t>
  </si>
  <si>
    <t>New Guntur - Nellore</t>
  </si>
  <si>
    <t>Guntur - Nellore</t>
  </si>
  <si>
    <t>Guntur Andhra Pradesh - Puducherry</t>
  </si>
  <si>
    <t>Guntur - Puducherry</t>
  </si>
  <si>
    <t>Guntur Junction - Rajahmundry</t>
  </si>
  <si>
    <t>Guntur - Rajahmundry</t>
  </si>
  <si>
    <t>Guntur - Yelhanka</t>
  </si>
  <si>
    <t>India, Gurgaon</t>
  </si>
  <si>
    <t>Gurgaon - Churu</t>
  </si>
  <si>
    <t>Gurgaon - Dausa</t>
  </si>
  <si>
    <t>India, Karnal</t>
  </si>
  <si>
    <t>Gurgaon - Karnal</t>
  </si>
  <si>
    <t>Gurgaon - Mughalsarai</t>
  </si>
  <si>
    <t>Gurgaon - Pathankot</t>
  </si>
  <si>
    <t>Gurgaon - Pathankot Cantt</t>
  </si>
  <si>
    <t>Gurgaon - Gogameri</t>
  </si>
  <si>
    <t>India, Tanakpur</t>
  </si>
  <si>
    <t>Gurgaon - Tanakpur</t>
  </si>
  <si>
    <t>Gurgaon - Mughal Sarai Junction</t>
  </si>
  <si>
    <t>India, Ayodhya</t>
  </si>
  <si>
    <t>Guwahati - Ayodhya</t>
  </si>
  <si>
    <t>Guwahati - Coimbatore</t>
  </si>
  <si>
    <t>India, Dharmanagar</t>
  </si>
  <si>
    <t>Guwahati - Dharmanagar</t>
  </si>
  <si>
    <t>Kamakhya - Dharmanagar</t>
  </si>
  <si>
    <t>India, Falakata</t>
  </si>
  <si>
    <t>Guwahati - Falakata</t>
  </si>
  <si>
    <t>Kamakhya - Falakata</t>
  </si>
  <si>
    <t>India, Goalpara</t>
  </si>
  <si>
    <t>Guwahati - Goalpara</t>
  </si>
  <si>
    <t>Guwahati - Golokganj</t>
  </si>
  <si>
    <t>Kamakhya - Golakganj Junction</t>
  </si>
  <si>
    <t>Guwahati - Gorakhpur</t>
  </si>
  <si>
    <t>Kamakhya - Gorakhpur</t>
  </si>
  <si>
    <t>Guwahati - Haryana</t>
  </si>
  <si>
    <t>India, Hasimara</t>
  </si>
  <si>
    <t>Guwahati - Hasimara</t>
  </si>
  <si>
    <t>Kamakhya - Hasimara</t>
  </si>
  <si>
    <t>Guwahati - Jammu And Kashmir</t>
  </si>
  <si>
    <t>Guwahati - Karimganj</t>
  </si>
  <si>
    <t>Guwahati - New Karimganj</t>
  </si>
  <si>
    <t>Kamakhya - New Karimganj</t>
  </si>
  <si>
    <t>Guwahati - Kerala</t>
  </si>
  <si>
    <t>India, Khandwa</t>
  </si>
  <si>
    <t>Guwahati - Khandwa</t>
  </si>
  <si>
    <t>Kamakhya - Khandwa</t>
  </si>
  <si>
    <t>Guwahati - Malda</t>
  </si>
  <si>
    <t>Guwahati - Malda Town</t>
  </si>
  <si>
    <t>Guwahati - Muzaffarpur Junction</t>
  </si>
  <si>
    <t>Kamakhya - Muzaffarpur Junction</t>
  </si>
  <si>
    <t>Guwahati - Prayagraj</t>
  </si>
  <si>
    <t>Kamakhya - Prayagraj Junction</t>
  </si>
  <si>
    <t>Guwahati - Rampur Hat</t>
  </si>
  <si>
    <t>Kamakhya - Rampur Hat</t>
  </si>
  <si>
    <t>Guwahati - Tamil Nadu</t>
  </si>
  <si>
    <t>Guwahati - Tundla</t>
  </si>
  <si>
    <t>Kamakhya - Tundla Junction</t>
  </si>
  <si>
    <t>Gwalior Jn - Agra Fort</t>
  </si>
  <si>
    <t>Gwalior Jn - Banda Junction</t>
  </si>
  <si>
    <t>Gwalior - Banda India</t>
  </si>
  <si>
    <t>Gwalior Jn - Barauni Junction</t>
  </si>
  <si>
    <t>Gwalior - Barauni</t>
  </si>
  <si>
    <t>Gwalior Jn - Kopargaon</t>
  </si>
  <si>
    <t>Gwalior - Kopargaon</t>
  </si>
  <si>
    <t>India, Kosi Kalan</t>
  </si>
  <si>
    <t>Gwalior Jn - Kosi Kalan</t>
  </si>
  <si>
    <t>Gwalior - Kosi Kalan</t>
  </si>
  <si>
    <t>Gwalior - Margao</t>
  </si>
  <si>
    <t>Gwalior - Navi Mumbai</t>
  </si>
  <si>
    <t>Gwalior Jn - Pipariya</t>
  </si>
  <si>
    <t>Gwalior - Pipariya</t>
  </si>
  <si>
    <t>Gwalior - Pushkar</t>
  </si>
  <si>
    <t>Gwalior Jn - Saugor</t>
  </si>
  <si>
    <t>Gwalior - Sagar</t>
  </si>
  <si>
    <t>Gwalior Jn - Satna</t>
  </si>
  <si>
    <t>Gwalior - Shirdi</t>
  </si>
  <si>
    <t>Gwalior Jn - Tundla Junction</t>
  </si>
  <si>
    <t>Gwalior - Tundla</t>
  </si>
  <si>
    <t>India, Hapur</t>
  </si>
  <si>
    <t>Hapur - Bareilly</t>
  </si>
  <si>
    <t>India, Moradabad</t>
  </si>
  <si>
    <t>Hapur - Moradabad</t>
  </si>
  <si>
    <t>India, Hardoi</t>
  </si>
  <si>
    <t>Hardoi - Anand Vihar Trm</t>
  </si>
  <si>
    <t>Hardoi - New Delhi</t>
  </si>
  <si>
    <t>Haridwar Jn - Bharuch Junction</t>
  </si>
  <si>
    <t>Haridwar - Bharuch</t>
  </si>
  <si>
    <t>Haridwar Jn - Ayodhya Cantt</t>
  </si>
  <si>
    <t>Haridwar Jn - Vadodara</t>
  </si>
  <si>
    <t>Hassan - Belagavi</t>
  </si>
  <si>
    <t>Hassan - Belgaum</t>
  </si>
  <si>
    <t>Hassan - Davanagere</t>
  </si>
  <si>
    <t>Hassan - Davangere</t>
  </si>
  <si>
    <t>India, Hosapete</t>
  </si>
  <si>
    <t>India, Bagalkote</t>
  </si>
  <si>
    <t>Hosapete - Bagalkote</t>
  </si>
  <si>
    <t>Hospet Jn - New Bengaluru Terminal</t>
  </si>
  <si>
    <t>Hosapete - Kalyan</t>
  </si>
  <si>
    <t>Hospet Jn - Kalyan Jn</t>
  </si>
  <si>
    <t>Hosapete - Kurnool</t>
  </si>
  <si>
    <t>Hospet Jn - Kurnool Town</t>
  </si>
  <si>
    <t>India, Thane</t>
  </si>
  <si>
    <t>Hosapete - Thane</t>
  </si>
  <si>
    <t>Hospet Jn - Thane</t>
  </si>
  <si>
    <t>India, Hosur</t>
  </si>
  <si>
    <t>Hosur - Erode</t>
  </si>
  <si>
    <t>Hosur - Kerala</t>
  </si>
  <si>
    <t>Howrah - Bareilly</t>
  </si>
  <si>
    <t>Howrah - Barsoi</t>
  </si>
  <si>
    <t>Howrah - Barsoi Junction</t>
  </si>
  <si>
    <t>Howrah - Basti</t>
  </si>
  <si>
    <t>Howrah - Nawadah</t>
  </si>
  <si>
    <t>Howrah - Govindpuri</t>
  </si>
  <si>
    <t>India, Kumardubi</t>
  </si>
  <si>
    <t>Howrah - Kumardubi</t>
  </si>
  <si>
    <t>India, Mecheda</t>
  </si>
  <si>
    <t>Howrah - Mecheda</t>
  </si>
  <si>
    <t>Howrah - Raigarh</t>
  </si>
  <si>
    <t>Hubballi Dharwad - Solapur</t>
  </si>
  <si>
    <t>Hubli - Secunderabad</t>
  </si>
  <si>
    <t>Hubballi Jn - Renigunta Junction</t>
  </si>
  <si>
    <t>Secunderabad - Madhira</t>
  </si>
  <si>
    <t>Kacheguda - Bidar</t>
  </si>
  <si>
    <t>India, Chittoor</t>
  </si>
  <si>
    <t>Kacheguda - Chittoor</t>
  </si>
  <si>
    <t>Kacheguda - Gooty</t>
  </si>
  <si>
    <t>India, Hindupur</t>
  </si>
  <si>
    <t>Kacheguda - Hindupur</t>
  </si>
  <si>
    <t>India, Jalna</t>
  </si>
  <si>
    <t>Secunderabad - Jalna</t>
  </si>
  <si>
    <t>India, Jodhpur</t>
  </si>
  <si>
    <t>Kacheguda - Bhagat Ki Kothi</t>
  </si>
  <si>
    <t>Kacheguda - Jodhpur Jn</t>
  </si>
  <si>
    <t>India, Kagaznagar</t>
  </si>
  <si>
    <t>Hyderabad Decan - Sirpur Kaghaznagar</t>
  </si>
  <si>
    <t>Hyderabad - Kagaznagar</t>
  </si>
  <si>
    <t>Kacheguda - Sirpur Kaghaznagar</t>
  </si>
  <si>
    <t>Secunderabad - Sirpur Kaghaznagar</t>
  </si>
  <si>
    <t>India, Khammam</t>
  </si>
  <si>
    <t>Kacheguda - Khammam</t>
  </si>
  <si>
    <t>India, Kharagpur</t>
  </si>
  <si>
    <t>Hyderabad - Kharagpur</t>
  </si>
  <si>
    <t>India, Madanapalle</t>
  </si>
  <si>
    <t>Kacheguda - Madanapalle Road</t>
  </si>
  <si>
    <t>India, Narasapuram</t>
  </si>
  <si>
    <t>Hyderabad Decan - Narasapur</t>
  </si>
  <si>
    <t>Secunderabad - Narasapur</t>
  </si>
  <si>
    <t>India, Palasa</t>
  </si>
  <si>
    <t>Hyderabad Decan - Palasa</t>
  </si>
  <si>
    <t>Secunderabad - Palasa</t>
  </si>
  <si>
    <t>India, Parbhani</t>
  </si>
  <si>
    <t>Kacheguda - Parbhani Junction</t>
  </si>
  <si>
    <t>Secunderabad - Parbhani Junction</t>
  </si>
  <si>
    <t>India, Parli Vaijnath</t>
  </si>
  <si>
    <t>Kacheguda - Parli Vaijnath</t>
  </si>
  <si>
    <t>India, Peddapalli</t>
  </si>
  <si>
    <t>Hyderabad Decan - Peddapalli</t>
  </si>
  <si>
    <t>India, Penukonda</t>
  </si>
  <si>
    <t>Hyderabad - Penukonda</t>
  </si>
  <si>
    <t>Kacheguda - Penukonda</t>
  </si>
  <si>
    <t>Kacheguda - Pondicherry</t>
  </si>
  <si>
    <t>Hyderabad - Samastipur</t>
  </si>
  <si>
    <t>Secunderabad - Samastipur Junction</t>
  </si>
  <si>
    <t>India, Sattenapalle</t>
  </si>
  <si>
    <t>Hyderabad Decan - Sattenapalle</t>
  </si>
  <si>
    <t>Secunderabad - Sattenapalle</t>
  </si>
  <si>
    <t>Hyderabad - Satya Sai P Nilayam</t>
  </si>
  <si>
    <t>Hyderabad Decan - Tambaram</t>
  </si>
  <si>
    <t>Hyderabad - Tambaram</t>
  </si>
  <si>
    <t>Kacheguda - Tambaram</t>
  </si>
  <si>
    <t>Secunderabad - Adilabad</t>
  </si>
  <si>
    <t>India, Tuni</t>
  </si>
  <si>
    <t>Hyderabad Decan - Tuni</t>
  </si>
  <si>
    <t>Kacheguda - Tuni</t>
  </si>
  <si>
    <t>Secunderabad - Tuni</t>
  </si>
  <si>
    <t>India, Vikarabad</t>
  </si>
  <si>
    <t>Hyderabad Decan - Vikarabad Junction</t>
  </si>
  <si>
    <t>Hyderabad - Vikarabad</t>
  </si>
  <si>
    <t>Kacheguda - Vikarabad Junction</t>
  </si>
  <si>
    <t>Secunderabad - Vikarabad Junction</t>
  </si>
  <si>
    <t>Kacheguda - Villuparam Junction</t>
  </si>
  <si>
    <t>Hyderabad Decan - Vizianagram Junction</t>
  </si>
  <si>
    <t>Secunderabad - Vizianagram Junction</t>
  </si>
  <si>
    <t>Hyderabad Decan - Kazipet Junction</t>
  </si>
  <si>
    <t>Kacheguda - Kazipet Junction</t>
  </si>
  <si>
    <t>Secunderabad - Kazipet Junction</t>
  </si>
  <si>
    <t>India, Yadgir</t>
  </si>
  <si>
    <t>Hyderabad - Yadgir</t>
  </si>
  <si>
    <t>Secunderabad - Yadgir</t>
  </si>
  <si>
    <t>India, Yerraguntla</t>
  </si>
  <si>
    <t>Kacheguda - Yerraguntla</t>
  </si>
  <si>
    <t>India, Igatpuri</t>
  </si>
  <si>
    <t>Igatpuri - Maharashtra</t>
  </si>
  <si>
    <t>Igatpuri - Lokmanya Tilak Term</t>
  </si>
  <si>
    <t>Igatpuri - Mumbai Cst</t>
  </si>
  <si>
    <t>India, Panvel</t>
  </si>
  <si>
    <t>Igatpuri - Panvel</t>
  </si>
  <si>
    <t>Indore Jn Bg - Gaya Jn</t>
  </si>
  <si>
    <t>Indore - Gaya</t>
  </si>
  <si>
    <t>India, Godhra</t>
  </si>
  <si>
    <t>Indore Jn Bg - Godhra Junction</t>
  </si>
  <si>
    <t>Indore - Godhra</t>
  </si>
  <si>
    <t>Indore Jn Bg - Kacheguda</t>
  </si>
  <si>
    <t>Indore Jn Bg - Nagda Junction</t>
  </si>
  <si>
    <t>Indore - Nagda</t>
  </si>
  <si>
    <t>Indore Jn Bg - Prayagraj Junction</t>
  </si>
  <si>
    <t>Indore - Prayagraj</t>
  </si>
  <si>
    <t>India, Sawai Madhopur</t>
  </si>
  <si>
    <t>Indore Jn Bg - Sawai Madhopur</t>
  </si>
  <si>
    <t>Indore - Sawai Madhopur</t>
  </si>
  <si>
    <t>India, Sehore</t>
  </si>
  <si>
    <t>Indore Jn Bg - Sehore</t>
  </si>
  <si>
    <t>India, Shujalpur</t>
  </si>
  <si>
    <t>Indore Jn Bg - Shujalpur</t>
  </si>
  <si>
    <t>Indore - Shujalpur</t>
  </si>
  <si>
    <t>Irinjalakuda - Aluva</t>
  </si>
  <si>
    <t>Irinjalakuda - Ernakulam</t>
  </si>
  <si>
    <t>Irinjalakuda - Ernakulam Jn</t>
  </si>
  <si>
    <t>Irinjalakuda - Kochi India</t>
  </si>
  <si>
    <t>India, Itanagar</t>
  </si>
  <si>
    <t>Itanagar - Delhi</t>
  </si>
  <si>
    <t>Naharlagun - Anand Vihar Trm</t>
  </si>
  <si>
    <t>Itarsi - Bihar</t>
  </si>
  <si>
    <t>Itarsi - Danapur</t>
  </si>
  <si>
    <t>India, Hoshangabad</t>
  </si>
  <si>
    <t>Itarsi - Hoshangabad</t>
  </si>
  <si>
    <t>Itarsi - Narmadapuram</t>
  </si>
  <si>
    <t>Itarsi - Navi Mumbai</t>
  </si>
  <si>
    <t>Itarsi - Tiruppur</t>
  </si>
  <si>
    <t>Itarsi - Vrindavan</t>
  </si>
  <si>
    <t>Jabalpur - Gujarat</t>
  </si>
  <si>
    <t>Jabalpur - Gumia</t>
  </si>
  <si>
    <t>Jabalpur - Jharkhand</t>
  </si>
  <si>
    <t>Jabalpur - Mughalsarai</t>
  </si>
  <si>
    <t>Jainagar Bihar - Mumbai</t>
  </si>
  <si>
    <t>Jaynagar - Lokmanya Tilak Term</t>
  </si>
  <si>
    <t>Jainagar Bihar - New Delhi</t>
  </si>
  <si>
    <t>India, Sultanganj</t>
  </si>
  <si>
    <t>Jainagar Bihar - Sultanganj</t>
  </si>
  <si>
    <t>Jaynagar - Sultanganj</t>
  </si>
  <si>
    <t>Dahar Ka Balaji - Ahmedabad Jn</t>
  </si>
  <si>
    <t>India, Falna</t>
  </si>
  <si>
    <t>Jaipur - Falna</t>
  </si>
  <si>
    <t>Jaipur - Guna</t>
  </si>
  <si>
    <t>Dahar Ka Balaji - Jaipur</t>
  </si>
  <si>
    <t>Jaipur - Dahar Ka Balaji</t>
  </si>
  <si>
    <t>India, Sanganer</t>
  </si>
  <si>
    <t>Jaipur - Sanganer</t>
  </si>
  <si>
    <t>India, Jalandhar</t>
  </si>
  <si>
    <t>Jalandhar - Ambala City</t>
  </si>
  <si>
    <t>Jalandhar - Borivali</t>
  </si>
  <si>
    <t>Jalandhar - Ayodhya Cantt</t>
  </si>
  <si>
    <t>Jalandhar - Faizabad</t>
  </si>
  <si>
    <t>Jalandhar Cant - Jammu Tawi</t>
  </si>
  <si>
    <t>Jamalpur Junction - Delhi</t>
  </si>
  <si>
    <t>Jamalpur - Delhi</t>
  </si>
  <si>
    <t>Jammu Tawi - Ambala City</t>
  </si>
  <si>
    <t>Jammu - Ayodhya</t>
  </si>
  <si>
    <t>India, Batala</t>
  </si>
  <si>
    <t>Jammu Tawi - Batala Junction</t>
  </si>
  <si>
    <t>Jammu Tawi - Chhapra</t>
  </si>
  <si>
    <t>Jammu - Chhapra</t>
  </si>
  <si>
    <t>India, Jamnagar</t>
  </si>
  <si>
    <t>Jamnagar - Somnath</t>
  </si>
  <si>
    <t>Jamshedpur - Asansol</t>
  </si>
  <si>
    <t>Jamui - Patna</t>
  </si>
  <si>
    <t>Jamui - Patna Jn</t>
  </si>
  <si>
    <t>Jamui - Rajendra Nagar</t>
  </si>
  <si>
    <t>Jasidih Deoghar - Andal</t>
  </si>
  <si>
    <t>Jasidih Junction - Andal Junction</t>
  </si>
  <si>
    <t>India, Bairgania</t>
  </si>
  <si>
    <t>Jasidih Deoghar - Bairgania</t>
  </si>
  <si>
    <t>Jasidih Junction - Bairgania</t>
  </si>
  <si>
    <t>Jasidih Deoghar - Darbhanga</t>
  </si>
  <si>
    <t>Jasidih Junction - Darbhanga</t>
  </si>
  <si>
    <t>Jasidih Deoghar - Deoghar</t>
  </si>
  <si>
    <t>Jasidih Junction - Deoghar Junction</t>
  </si>
  <si>
    <t>Jasidih Deoghar - Muzaffarpur</t>
  </si>
  <si>
    <t>Jasidih Junction - Muzaffarpur Junction</t>
  </si>
  <si>
    <t>Jasidih Deoghar - Ranchi</t>
  </si>
  <si>
    <t>Jasidih Junction - Ranchi</t>
  </si>
  <si>
    <t>Jasidih Deoghar - Sitamarhi</t>
  </si>
  <si>
    <t>Jasidih Junction - Sitamarhi Jn</t>
  </si>
  <si>
    <t>Jasidih Junction - Mughal Sarai Junction</t>
  </si>
  <si>
    <t>India, Jhalawar Road</t>
  </si>
  <si>
    <t>Jhalawar Road - Kota</t>
  </si>
  <si>
    <t>Jhalawar Road - Kota Jn</t>
  </si>
  <si>
    <t>Virangana Lakshmibai - Guna</t>
  </si>
  <si>
    <t>Jhansi - Mathura</t>
  </si>
  <si>
    <t>Virangana Lakshmibai - Mathura Jn</t>
  </si>
  <si>
    <t>India, Rishikesh</t>
  </si>
  <si>
    <t>Virangana Lakshmibai - Yog Nagari Rishikesh</t>
  </si>
  <si>
    <t>Jhansi - Uttarakhand</t>
  </si>
  <si>
    <t>India, Jind</t>
  </si>
  <si>
    <t>Jind Junction - Chandigarh</t>
  </si>
  <si>
    <t>Jind - Chandigarh</t>
  </si>
  <si>
    <t>India, Kuchaman City</t>
  </si>
  <si>
    <t>Jodhpur Jn - Kuchaman City</t>
  </si>
  <si>
    <t>Jodhpur - Kuchaman City</t>
  </si>
  <si>
    <t>Jolarpet - Kurnool</t>
  </si>
  <si>
    <t>Jolarpettai - Kurnool Town</t>
  </si>
  <si>
    <t>India, Ranipet</t>
  </si>
  <si>
    <t>Jolarpet - Ranipet</t>
  </si>
  <si>
    <t>India, Rajkot</t>
  </si>
  <si>
    <t>Junagadh Junction - Rajkot</t>
  </si>
  <si>
    <t>Kalaburagi Junction - Ksr Bangalore</t>
  </si>
  <si>
    <t>Kalaburagi Junction - New Bengaluru Terminal</t>
  </si>
  <si>
    <t>Kalyan - Ayodhya</t>
  </si>
  <si>
    <t>Kalyan Jn - Bhadohi</t>
  </si>
  <si>
    <t>Kalyan - Bhadohi</t>
  </si>
  <si>
    <t>Kalyan Jn - Gonda Jn</t>
  </si>
  <si>
    <t>Kalyan - Gonda</t>
  </si>
  <si>
    <t>India, Kudal</t>
  </si>
  <si>
    <t>Kalyan Jn - Kudal</t>
  </si>
  <si>
    <t>Kalyan - Kudal</t>
  </si>
  <si>
    <t>Kalyan Jn - Miraj Junction</t>
  </si>
  <si>
    <t>Kalyan Jn - Prayagraj Cheoki Jn</t>
  </si>
  <si>
    <t>Kalyan Jn - Prayagraj Junction</t>
  </si>
  <si>
    <t>Kalyan - Prayagraj</t>
  </si>
  <si>
    <t>Kalyan - Sangli</t>
  </si>
  <si>
    <t>Kalyan - Vrindavan</t>
  </si>
  <si>
    <t>India, Kanhangad</t>
  </si>
  <si>
    <t>Kanhangad - Ernakulam Jn</t>
  </si>
  <si>
    <t>Kanhangad - Kochi India</t>
  </si>
  <si>
    <t>India, Payyanur</t>
  </si>
  <si>
    <t>Kanhangad - Payyanur</t>
  </si>
  <si>
    <t>Kanpur Central - Chhapra</t>
  </si>
  <si>
    <t>Kanpur - Chhapra</t>
  </si>
  <si>
    <t>Govindpuri - Anand Vihar Trm</t>
  </si>
  <si>
    <t>Kanpur Central - Kokrajhar</t>
  </si>
  <si>
    <t>Kanpur - Kokrajhar</t>
  </si>
  <si>
    <t>Govindpuri - New Delhi</t>
  </si>
  <si>
    <t>Kanpur Central - Samastipur Junction</t>
  </si>
  <si>
    <t>Kanpur - Samastipur</t>
  </si>
  <si>
    <t>India, Kapurthala</t>
  </si>
  <si>
    <t>Kapurthala - Jalandhar</t>
  </si>
  <si>
    <t>India, Karatagi</t>
  </si>
  <si>
    <t>Karatagi - Yesvantpur</t>
  </si>
  <si>
    <t>Karatagi - Karnataka</t>
  </si>
  <si>
    <t>India, Karjat</t>
  </si>
  <si>
    <t>Karjat - Navi Mumbai</t>
  </si>
  <si>
    <t>Karnal - Chandigarh</t>
  </si>
  <si>
    <t>Karnal - Jammu And Kashmir</t>
  </si>
  <si>
    <t>Karnal - Jammu Kashmir</t>
  </si>
  <si>
    <t>Karnal - Punjab</t>
  </si>
  <si>
    <t>India, Ambur</t>
  </si>
  <si>
    <t>Karnataka - Ambur</t>
  </si>
  <si>
    <t>Karnataka - Angamaly</t>
  </si>
  <si>
    <t>Karnataka - Ankola</t>
  </si>
  <si>
    <t>Karnataka - Bidar</t>
  </si>
  <si>
    <t>Karnataka - Bihar</t>
  </si>
  <si>
    <t>Karnataka - Bijapur</t>
  </si>
  <si>
    <t>Karnataka - Brahmapur</t>
  </si>
  <si>
    <t>India, Challakere</t>
  </si>
  <si>
    <t>Karnataka - Challakere</t>
  </si>
  <si>
    <t>Karnataka - Chengannur</t>
  </si>
  <si>
    <t>Karnataka - Chhattisgarh</t>
  </si>
  <si>
    <t>Karnataka - Davanagere</t>
  </si>
  <si>
    <t>India, Dharmavaram</t>
  </si>
  <si>
    <t>Karnataka - Dharmavaram</t>
  </si>
  <si>
    <t>Karnataka - Dindigul</t>
  </si>
  <si>
    <t>Karnataka - Ganagapur Road</t>
  </si>
  <si>
    <t>Karnataka - Gopalpur Odisha</t>
  </si>
  <si>
    <t>India, Honavar</t>
  </si>
  <si>
    <t>Karnataka - Honavar</t>
  </si>
  <si>
    <t>Karnataka - Hubballi Dharwad</t>
  </si>
  <si>
    <t>Karnataka - Irinjalakuda</t>
  </si>
  <si>
    <t>Karnataka - Jabalpur</t>
  </si>
  <si>
    <t>Karnataka - Jamshedpur</t>
  </si>
  <si>
    <t>Karnataka - Jolarpet</t>
  </si>
  <si>
    <t>Karnataka - Kakinada</t>
  </si>
  <si>
    <t>Karnataka - Kalaburagi</t>
  </si>
  <si>
    <t>Karnataka - Karur</t>
  </si>
  <si>
    <t>India, Kayamkulam</t>
  </si>
  <si>
    <t>Karnataka - Kayamkulam</t>
  </si>
  <si>
    <t>Karnataka - Kothapatnam</t>
  </si>
  <si>
    <t>India, Kumta</t>
  </si>
  <si>
    <t>Karnataka - Kumta</t>
  </si>
  <si>
    <t>India, Kundapur</t>
  </si>
  <si>
    <t>Karnataka - Kundapur</t>
  </si>
  <si>
    <t>India, Madurai</t>
  </si>
  <si>
    <t>Kengeri - Madurai Junction</t>
  </si>
  <si>
    <t>India, Karunagapalli</t>
  </si>
  <si>
    <t>Karunagapalli - Panvel</t>
  </si>
  <si>
    <t>Karur - New Bengaluru Terminal</t>
  </si>
  <si>
    <t>India, Nala Sopara</t>
  </si>
  <si>
    <t>Karwar - Nala Sopara</t>
  </si>
  <si>
    <t>Karwar - Vasai Road</t>
  </si>
  <si>
    <t>Katihar Junction - Malda Town</t>
  </si>
  <si>
    <t>Katihar - Malda</t>
  </si>
  <si>
    <t>Katihar Junction - New Delhi</t>
  </si>
  <si>
    <t>Katihar - New Delhi</t>
  </si>
  <si>
    <t>Katihar Junction - Bagdogra</t>
  </si>
  <si>
    <t>Katihar Junction - New Jalpaiguri</t>
  </si>
  <si>
    <t>Katpadi Junction - Pune Jn</t>
  </si>
  <si>
    <t>Katpadi - Pune</t>
  </si>
  <si>
    <t>Katpadi Junction - Vijayawada Jn</t>
  </si>
  <si>
    <t>Kendujhar - Bhubaneswar</t>
  </si>
  <si>
    <t>Kendujhargarh - Bhubaneswar</t>
  </si>
  <si>
    <t>Kerala - Aluva</t>
  </si>
  <si>
    <t>Kerala - Andhra Pradesh</t>
  </si>
  <si>
    <t>Kerala - Assam</t>
  </si>
  <si>
    <t>Kerala - Bihar</t>
  </si>
  <si>
    <t>Kerala - Dindigul</t>
  </si>
  <si>
    <t>Kerala - Gwalior</t>
  </si>
  <si>
    <t>Kerala - Kanhangad</t>
  </si>
  <si>
    <t>Kerala - Karaikal</t>
  </si>
  <si>
    <t>Kerala - Karunagapalli</t>
  </si>
  <si>
    <t>Kerala - Kasaragod</t>
  </si>
  <si>
    <t>Harippad - Ernakulam Jn</t>
  </si>
  <si>
    <t>Kottarakara - Ernakulam Town North</t>
  </si>
  <si>
    <t>Kerala - Kumta</t>
  </si>
  <si>
    <t>India, Kuttippuram</t>
  </si>
  <si>
    <t>Kerala - Kuttippuram</t>
  </si>
  <si>
    <t>Kerala - Ludhiana</t>
  </si>
  <si>
    <t>Kerala - Margao</t>
  </si>
  <si>
    <t>Kerala - Nagpur</t>
  </si>
  <si>
    <t>Kerala - Nashik</t>
  </si>
  <si>
    <t>Kerala - Navi Mumbai</t>
  </si>
  <si>
    <t>India, Nileshwar</t>
  </si>
  <si>
    <t>Kerala - Nileshwar</t>
  </si>
  <si>
    <t>Kerala - North Goa</t>
  </si>
  <si>
    <t>India, Old Goa</t>
  </si>
  <si>
    <t>Kerala - Old Goa</t>
  </si>
  <si>
    <t>Kerala - Patna</t>
  </si>
  <si>
    <t>India, Punalur</t>
  </si>
  <si>
    <t>Kerala - Punalur</t>
  </si>
  <si>
    <t>Kerala - Tambaram</t>
  </si>
  <si>
    <t>Kerala - Tenkasi</t>
  </si>
  <si>
    <t>India, Thanjavur</t>
  </si>
  <si>
    <t>Kerala - Thanjavur</t>
  </si>
  <si>
    <t>India, Tirur</t>
  </si>
  <si>
    <t>Kerala - Tirur</t>
  </si>
  <si>
    <t>India, Varkala</t>
  </si>
  <si>
    <t>Sasthankotta - Varkala</t>
  </si>
  <si>
    <t>India, Vatakara</t>
  </si>
  <si>
    <t>Kerala - Vatakara</t>
  </si>
  <si>
    <t>Kerala - Velankanni</t>
  </si>
  <si>
    <t>Kerala - Vijayawada</t>
  </si>
  <si>
    <t>Kerala - Visakhapatnam</t>
  </si>
  <si>
    <t>Kerala - West Bengal</t>
  </si>
  <si>
    <t>India, Kesinga</t>
  </si>
  <si>
    <t>Kesinga - Delhi</t>
  </si>
  <si>
    <t>Kesinga - Hazrat Nizamuddin</t>
  </si>
  <si>
    <t>Kesinga - New Delhi</t>
  </si>
  <si>
    <t>Kevadia - Gujarat</t>
  </si>
  <si>
    <t>Kevadia - Maharashtra</t>
  </si>
  <si>
    <t>Ekta Nagar - Mumbai Dadar</t>
  </si>
  <si>
    <t>Kevadia - Mumbai</t>
  </si>
  <si>
    <t>India, Khadki</t>
  </si>
  <si>
    <t>Khadki - Pune Jn</t>
  </si>
  <si>
    <t>Khadki - Pune</t>
  </si>
  <si>
    <t>Khaira - Borivali</t>
  </si>
  <si>
    <t>Khaira - Surat</t>
  </si>
  <si>
    <t>Khajuraho - Mathura</t>
  </si>
  <si>
    <t>Khajuraho - Mathura Jn</t>
  </si>
  <si>
    <t>Khajuraho - Prayagraj</t>
  </si>
  <si>
    <t>Khajuraho - Vidisha</t>
  </si>
  <si>
    <t>India, Khalilabad</t>
  </si>
  <si>
    <t>Khalilabad - Barabanki</t>
  </si>
  <si>
    <t>Khalilabad - Barabanki Junction</t>
  </si>
  <si>
    <t>Khammam - Andhra Pradesh</t>
  </si>
  <si>
    <t>Khammam - Guntur</t>
  </si>
  <si>
    <t>Khammam - Guntur Junction</t>
  </si>
  <si>
    <t>Khammam - Lingampalli</t>
  </si>
  <si>
    <t>Khammam - Srirangam</t>
  </si>
  <si>
    <t>Khammam - Tiruchchirappalli Junction</t>
  </si>
  <si>
    <t>Khammam - Tiruchirappalli</t>
  </si>
  <si>
    <t>Khammam - Warangal</t>
  </si>
  <si>
    <t>Khandwa - Bangalore</t>
  </si>
  <si>
    <t>Khandwa - Ksr Bangalore</t>
  </si>
  <si>
    <t>Khandwa - Rani Kamalapati</t>
  </si>
  <si>
    <t>Khandwa - Habibganj</t>
  </si>
  <si>
    <t>Khandwa - Hyderabad Decan</t>
  </si>
  <si>
    <t>Khandwa - Hyderabad</t>
  </si>
  <si>
    <t>Khandwa - Jalgaon</t>
  </si>
  <si>
    <t>Khandwa - Jalgaon Jn</t>
  </si>
  <si>
    <t>Khandwa - Kalyan</t>
  </si>
  <si>
    <t>Khandwa - Kalyan Jn</t>
  </si>
  <si>
    <t>Khandwa - Karnataka</t>
  </si>
  <si>
    <t>Khandwa - Madhya Pradesh</t>
  </si>
  <si>
    <t>Khandwa - Lokmanya Tilak Term</t>
  </si>
  <si>
    <t>Khandwa - Mumbai</t>
  </si>
  <si>
    <t>Khandwa - Mumbai Cst</t>
  </si>
  <si>
    <t>Khandwa - Nashik</t>
  </si>
  <si>
    <t>Khandwa - Nasik Road</t>
  </si>
  <si>
    <t>Khandwa - Panvel</t>
  </si>
  <si>
    <t>Khandwa - Telangana</t>
  </si>
  <si>
    <t>Khandwa - Ujjain</t>
  </si>
  <si>
    <t>India, Khanna</t>
  </si>
  <si>
    <t>Khanna - Punjab</t>
  </si>
  <si>
    <t>Kharagpur Junction - Ksr Bangalore</t>
  </si>
  <si>
    <t>Kharagpur Junction - New Bengaluru Terminal</t>
  </si>
  <si>
    <t>Kharagpur - Bangalore</t>
  </si>
  <si>
    <t>India, Bankura</t>
  </si>
  <si>
    <t>Kharagpur Junction - Bankura</t>
  </si>
  <si>
    <t>Kharagpur - Bankura</t>
  </si>
  <si>
    <t>Kharagpur Junction - Chennai Central</t>
  </si>
  <si>
    <t>Kharagpur Junction - Perambur</t>
  </si>
  <si>
    <t>Kharagpur - Chennai</t>
  </si>
  <si>
    <t>Kharagpur - Goa</t>
  </si>
  <si>
    <t>Kharagpur Junction - Hyderabad Decan</t>
  </si>
  <si>
    <t>Kharagpur - Karnataka</t>
  </si>
  <si>
    <t>Kharagpur - Maharashtra</t>
  </si>
  <si>
    <t>Kharagpur Junction - Madgaon</t>
  </si>
  <si>
    <t>Kharagpur - Madgaon</t>
  </si>
  <si>
    <t>Kharagpur Junction - Mumbai Dadar</t>
  </si>
  <si>
    <t>Kharagpur Junction - Rampur Hat</t>
  </si>
  <si>
    <t>Kharagpur - Rampur Hat</t>
  </si>
  <si>
    <t>Kharagpur - Telangana</t>
  </si>
  <si>
    <t>India, Khatima</t>
  </si>
  <si>
    <t>Khatima - Delhi</t>
  </si>
  <si>
    <t>Khurda Road Junction - Lingampalli</t>
  </si>
  <si>
    <t>Khurda - Lingampalli</t>
  </si>
  <si>
    <t>Khurda Road Junction - Puri</t>
  </si>
  <si>
    <t>Khurda - Puri</t>
  </si>
  <si>
    <t>Khurda Road Junction - Rajahmundry</t>
  </si>
  <si>
    <t>Khurda - Rajahmundry</t>
  </si>
  <si>
    <t>Kishanganj - Bangalore</t>
  </si>
  <si>
    <t>Kishanganj - New Bengaluru Terminal</t>
  </si>
  <si>
    <t>Kishanganj - Danapur</t>
  </si>
  <si>
    <t>Kishanganj - Karnataka</t>
  </si>
  <si>
    <t>India, Kishangarh</t>
  </si>
  <si>
    <t>Kishangarh - Bhilwara</t>
  </si>
  <si>
    <t>Ernakulam Jn - Mararikulam</t>
  </si>
  <si>
    <t>Ernakulam Jn - Bhusaval Junction</t>
  </si>
  <si>
    <t>Kochi India - Bhusaval</t>
  </si>
  <si>
    <t>Ernakulam Jn - Chalakudi</t>
  </si>
  <si>
    <t>Ernakulam Town North - Chalakudi</t>
  </si>
  <si>
    <t>Kochi India - Chalakudy</t>
  </si>
  <si>
    <t>Kochi India - Daman</t>
  </si>
  <si>
    <t>Ernakulam Jn - Irinjalakuda</t>
  </si>
  <si>
    <t>Kochi India - Irinjalakuda</t>
  </si>
  <si>
    <t>Ernakulam Town North - Kanhangad</t>
  </si>
  <si>
    <t>Ernakulam Jn - Ludhiana</t>
  </si>
  <si>
    <t>Kochi India - Ludhiana</t>
  </si>
  <si>
    <t>Ernakulam Jn - Nasik Road</t>
  </si>
  <si>
    <t>Kochi India - Nashik</t>
  </si>
  <si>
    <t>Kochi India - Navi Mumbai</t>
  </si>
  <si>
    <t>Ernakulam Jn - Nileshwar</t>
  </si>
  <si>
    <t>Kochi India - Nileshwar</t>
  </si>
  <si>
    <t>Kochi India - Old Goa</t>
  </si>
  <si>
    <t>Ernakulam Jn - Pattambi</t>
  </si>
  <si>
    <t>Ernakulam Town North - Punalur</t>
  </si>
  <si>
    <t>Kochi India - Punalur</t>
  </si>
  <si>
    <t>Ernakulam Town North - New Jalpaiguri</t>
  </si>
  <si>
    <t>Ernakulam Town North - Tenkasi Jn</t>
  </si>
  <si>
    <t>Kochi India - Tenkasi</t>
  </si>
  <si>
    <t>Ernakulam Jn - Vapi</t>
  </si>
  <si>
    <t>Kochi India - Vapi</t>
  </si>
  <si>
    <t>Ernakulam Jn - Velankanni</t>
  </si>
  <si>
    <t>India, Alipurduar</t>
  </si>
  <si>
    <t>Kokrajhar - Alipur Duar Junction</t>
  </si>
  <si>
    <t>Kokrajhar - Alipurduar</t>
  </si>
  <si>
    <t>Kokrajhar - New Alipurduar</t>
  </si>
  <si>
    <t>Kokrajhar - Cooch Behar</t>
  </si>
  <si>
    <t>Kokrajhar - New Cooch Behar</t>
  </si>
  <si>
    <t>India, Mayapur</t>
  </si>
  <si>
    <t>Kokrajhar - Mayapur</t>
  </si>
  <si>
    <t>India, Nabadwip</t>
  </si>
  <si>
    <t>Kokrajhar - Nabadwip</t>
  </si>
  <si>
    <t>Kokrajhar - Nabadwip Dham</t>
  </si>
  <si>
    <t>Kokrajhar - New Delhi</t>
  </si>
  <si>
    <t>Kolkata - Aluva</t>
  </si>
  <si>
    <t>Shalimar - Aluva</t>
  </si>
  <si>
    <t>Kolkata - Amravati</t>
  </si>
  <si>
    <t>Kolkata - Anand Gujarat</t>
  </si>
  <si>
    <t>Shalimar - Anand Jn</t>
  </si>
  <si>
    <t>Kolkata - Badnera</t>
  </si>
  <si>
    <t>Shalimar - Badnera Junction</t>
  </si>
  <si>
    <t>Kolkata - Bareilly</t>
  </si>
  <si>
    <t>Kolkata - Basti</t>
  </si>
  <si>
    <t>Sealdah - Danapur</t>
  </si>
  <si>
    <t>Kolkata - Gandhidham</t>
  </si>
  <si>
    <t>Shalimar - Gandhidham Bg</t>
  </si>
  <si>
    <t>Shalimar - Adipur</t>
  </si>
  <si>
    <t>Kolkata - Govindpuri</t>
  </si>
  <si>
    <t>India, Kanyakumari</t>
  </si>
  <si>
    <t>Kolkata - Kanyakumari</t>
  </si>
  <si>
    <t>Kolkata - Katihar</t>
  </si>
  <si>
    <t>Kolkata - Katihar Junction</t>
  </si>
  <si>
    <t>Sealdah - Katihar Junction</t>
  </si>
  <si>
    <t>Santragachi Junction - Ernakulam Jn</t>
  </si>
  <si>
    <t>Shalimar - Ernakulam Town North</t>
  </si>
  <si>
    <t>India, Koraput</t>
  </si>
  <si>
    <t>Kolkata - Koraput</t>
  </si>
  <si>
    <t>Kolkata - Kumardubi</t>
  </si>
  <si>
    <t>India, Laheria Sarai</t>
  </si>
  <si>
    <t>Sealdah - Laheria Sarai</t>
  </si>
  <si>
    <t>Kolkata - Mecheda</t>
  </si>
  <si>
    <t>Shalimar - Mecheda</t>
  </si>
  <si>
    <t>Kolkata - Nagercoil</t>
  </si>
  <si>
    <t>Shalimar - Nagercoil Jn</t>
  </si>
  <si>
    <t>India, Nawada</t>
  </si>
  <si>
    <t>Kolkata - Nawada</t>
  </si>
  <si>
    <t>India, Pirpainti</t>
  </si>
  <si>
    <t>Kolkata - Pirpainti</t>
  </si>
  <si>
    <t>Kolkata - Prayagraj</t>
  </si>
  <si>
    <t>Kolkata - Raigarh</t>
  </si>
  <si>
    <t>Shalimar - Raigarh</t>
  </si>
  <si>
    <t>Kolkata - Roorkee</t>
  </si>
  <si>
    <t>Kolkata - Siwan Junction</t>
  </si>
  <si>
    <t>Kolkata - Tiruchirappalli</t>
  </si>
  <si>
    <t>Shalimar - Tiruchchirappalli Junction</t>
  </si>
  <si>
    <t>Sealdah - Banaras</t>
  </si>
  <si>
    <t>Kolkata - Villupuram</t>
  </si>
  <si>
    <t>India, Kollam</t>
  </si>
  <si>
    <t>Kollam - Margao</t>
  </si>
  <si>
    <t>Kollam - Navi Mumbai</t>
  </si>
  <si>
    <t>India, Palani</t>
  </si>
  <si>
    <t>Kollam - Palani</t>
  </si>
  <si>
    <t>Kollam - Vadodara</t>
  </si>
  <si>
    <t>India, Raichur</t>
  </si>
  <si>
    <t>Kopargaon - Raichur</t>
  </si>
  <si>
    <t>Kopargaon - Sevagram</t>
  </si>
  <si>
    <t>Kopargaon - Wardha</t>
  </si>
  <si>
    <t>Kopargaon - Wardha Junction</t>
  </si>
  <si>
    <t>Kosi Kalan - Jhansi</t>
  </si>
  <si>
    <t>Kosi Kalan - Virangana Lakshmibai</t>
  </si>
  <si>
    <t>Sogaria - Jodhpur Jn</t>
  </si>
  <si>
    <t>Kota Jn - Saugor</t>
  </si>
  <si>
    <t>Kothapatnam - Lingampalli</t>
  </si>
  <si>
    <t>Kothapatnam - Visakhapatnam</t>
  </si>
  <si>
    <t>Kottayam - Perambur</t>
  </si>
  <si>
    <t>Kovilpatti - Tambaram</t>
  </si>
  <si>
    <t>India, Kozhikode</t>
  </si>
  <si>
    <t>Kozhikode - Angamali</t>
  </si>
  <si>
    <t>Kozhikode - Tambaram</t>
  </si>
  <si>
    <t>Kumta - Ratnagiri</t>
  </si>
  <si>
    <t>Kundapura - Mangalore Jn</t>
  </si>
  <si>
    <t>Kundapur - Mangalore</t>
  </si>
  <si>
    <t>Lingampalli - Andhra Pradesh</t>
  </si>
  <si>
    <t>Lingampalli - Annavaram</t>
  </si>
  <si>
    <t>Lingampalli - Bapatla</t>
  </si>
  <si>
    <t>Lingampalli - Bhimavaram</t>
  </si>
  <si>
    <t>Lingampalli - Bhimavaram Junction</t>
  </si>
  <si>
    <t>Lingampalli - Bhimavaram Town</t>
  </si>
  <si>
    <t>Lingampalli - Brahmapur</t>
  </si>
  <si>
    <t>Lingampalli - Eluru</t>
  </si>
  <si>
    <t>Lingampalli - Jalna</t>
  </si>
  <si>
    <t>Lingampalli - Karnataka</t>
  </si>
  <si>
    <t>India, Kasibugga</t>
  </si>
  <si>
    <t>Lingampalli - Kasibugga</t>
  </si>
  <si>
    <t>Lingampalli - Khammam</t>
  </si>
  <si>
    <t>Lingampalli - Kothapatnam</t>
  </si>
  <si>
    <t>Lingampalli - Kurnool</t>
  </si>
  <si>
    <t>Lingampalli - Kurnool Town</t>
  </si>
  <si>
    <t>Lingampalli - Lonavala</t>
  </si>
  <si>
    <t>Lingampalli - Machelipatnam</t>
  </si>
  <si>
    <t>Lingampalli - Machilipatnam</t>
  </si>
  <si>
    <t>Lingampalli - Maharashtra</t>
  </si>
  <si>
    <t>Lingampalli - Manmad</t>
  </si>
  <si>
    <t>Lingampalli - Manmad Junction</t>
  </si>
  <si>
    <t>India, Miryalaguda</t>
  </si>
  <si>
    <t>Lingampalli - Miryalaguda</t>
  </si>
  <si>
    <t>Lingampalli - Nanded</t>
  </si>
  <si>
    <t>India, Nandyal</t>
  </si>
  <si>
    <t>Lingampalli - Nandyal</t>
  </si>
  <si>
    <t>Lingampalli - Narasapur</t>
  </si>
  <si>
    <t>Lingampalli - Narasapuram</t>
  </si>
  <si>
    <t>Lingampalli - Nashik</t>
  </si>
  <si>
    <t>Lingampalli - Nasik Road</t>
  </si>
  <si>
    <t>Lingampalli - Navi Mumbai</t>
  </si>
  <si>
    <t>India, Nizamabad</t>
  </si>
  <si>
    <t>Lingampalli - Nizamabad</t>
  </si>
  <si>
    <t>Lingampalli - Ongole</t>
  </si>
  <si>
    <t>India, Palakollu</t>
  </si>
  <si>
    <t>Lingampalli - Palakollu</t>
  </si>
  <si>
    <t>Lingampalli - Palasa</t>
  </si>
  <si>
    <t>Lingampalli - Parbhani</t>
  </si>
  <si>
    <t>Lingampalli - Parbhani Junction</t>
  </si>
  <si>
    <t>India, Pithapuram</t>
  </si>
  <si>
    <t>Lingampalli - Pithapuram</t>
  </si>
  <si>
    <t>Lingampalli - Sattenapalle</t>
  </si>
  <si>
    <t>Lingampalli - Sainagar Shirdi</t>
  </si>
  <si>
    <t>Lingampalli - Shirdi</t>
  </si>
  <si>
    <t>India, Singarayakonda</t>
  </si>
  <si>
    <t>Lingampalli - Singarayakonda</t>
  </si>
  <si>
    <t>Lingampalli - Solapur</t>
  </si>
  <si>
    <t>Lingampalli - Solapur Junction</t>
  </si>
  <si>
    <t>India, Tenali</t>
  </si>
  <si>
    <t>Lingampalli - Tenali</t>
  </si>
  <si>
    <t>Lingampalli - Tenali Junction</t>
  </si>
  <si>
    <t>Lingampalli - Thane</t>
  </si>
  <si>
    <t>Lingampalli - Ujjain</t>
  </si>
  <si>
    <t>Lingampalli - Vadodara</t>
  </si>
  <si>
    <t>Lingampalli - Visakhapatnam</t>
  </si>
  <si>
    <t>Lingampalli - Vizianagram</t>
  </si>
  <si>
    <t>Lingampalli - Vizianagram Junction</t>
  </si>
  <si>
    <t>Lingampalli - Kazipet Junction</t>
  </si>
  <si>
    <t>Lonavala - Navi Mumbai</t>
  </si>
  <si>
    <t>Gomti Nagar Lucknow - Bandra Terminus</t>
  </si>
  <si>
    <t>Lucknow Ne - Lucknow Nr</t>
  </si>
  <si>
    <t>Aishbagh - Muzaffarpur Junction</t>
  </si>
  <si>
    <t>Lucknow Ne - Muzaffarpur Junction</t>
  </si>
  <si>
    <t>Lucknow Nr - Puri</t>
  </si>
  <si>
    <t>Lucknow - Puri</t>
  </si>
  <si>
    <t>Ludhiana - Bihar</t>
  </si>
  <si>
    <t>Ludhiana - Bilaspur</t>
  </si>
  <si>
    <t>Ludhiana - Bilaspur Jn</t>
  </si>
  <si>
    <t>Ludhiana - Damoh</t>
  </si>
  <si>
    <t>Ludhiana - Danapur</t>
  </si>
  <si>
    <t>Ludhiana - Pathankot Cantt</t>
  </si>
  <si>
    <t>Machelipatnam - Guntur Junction</t>
  </si>
  <si>
    <t>Machilipatnam - Guntur</t>
  </si>
  <si>
    <t>India, Madhupur</t>
  </si>
  <si>
    <t>Madhupur Junction - Asansol Junction</t>
  </si>
  <si>
    <t>Madhupur - Asansol</t>
  </si>
  <si>
    <t>Madhupur Junction - Patna Jn</t>
  </si>
  <si>
    <t>Madhupur - Patna</t>
  </si>
  <si>
    <t>Khirkiya - Jabalpur</t>
  </si>
  <si>
    <t>India, Mandapam</t>
  </si>
  <si>
    <t>Madurai Junction - Mandapam</t>
  </si>
  <si>
    <t>Madurai - Podanur</t>
  </si>
  <si>
    <t>Maharashtra - Junagadh</t>
  </si>
  <si>
    <t>India, Kolhapur</t>
  </si>
  <si>
    <t>Miraj Junction - Kolhapur</t>
  </si>
  <si>
    <t>Kankavali - Mumbai Cst</t>
  </si>
  <si>
    <t>Kankavali - Mumbai Dadar</t>
  </si>
  <si>
    <t>India, Parasnath</t>
  </si>
  <si>
    <t>Maharashtra - Parasnath</t>
  </si>
  <si>
    <t>Maharashtra - Pathankot</t>
  </si>
  <si>
    <t>Latur Road - Pune Jn</t>
  </si>
  <si>
    <t>Maharashtra - Veraval</t>
  </si>
  <si>
    <t>India, Mahoba</t>
  </si>
  <si>
    <t>Mahoba - Ajmer</t>
  </si>
  <si>
    <t>Mahoba - Ajmer Jn</t>
  </si>
  <si>
    <t>India, Orchha</t>
  </si>
  <si>
    <t>Mahoba - Orchha</t>
  </si>
  <si>
    <t>Mahoba - Mughal Sarai Junction</t>
  </si>
  <si>
    <t>India, Makrana</t>
  </si>
  <si>
    <t>Makrana Junction - Vijayawada Jn</t>
  </si>
  <si>
    <t>Makrana - Vijayawada</t>
  </si>
  <si>
    <t>India, Malappuram</t>
  </si>
  <si>
    <t>Malappuram - Kozhikode</t>
  </si>
  <si>
    <t>Malda Town - New Bengaluru Terminal</t>
  </si>
  <si>
    <t>Malda - Bangalore</t>
  </si>
  <si>
    <t>India, Malkapur</t>
  </si>
  <si>
    <t>Malkapur - Nagpur</t>
  </si>
  <si>
    <t>India, Manchiryal</t>
  </si>
  <si>
    <t>Mancherial - Lingampalli</t>
  </si>
  <si>
    <t>Manchiryal - Lingampalli</t>
  </si>
  <si>
    <t>Mancherial - New Delhi</t>
  </si>
  <si>
    <t>Manchiryal - New Delhi</t>
  </si>
  <si>
    <t>Manchiryal - Telangana</t>
  </si>
  <si>
    <t>Mancherial - Warangal</t>
  </si>
  <si>
    <t>Manchiryal - Warangal</t>
  </si>
  <si>
    <t>Mandapam - Nagercoil</t>
  </si>
  <si>
    <t>Mandapam - Nagercoil Jn</t>
  </si>
  <si>
    <t>India, Mandarmani</t>
  </si>
  <si>
    <t>Mandarmani - West Bengal</t>
  </si>
  <si>
    <t>Mangalore Jn - Ahmedabad Jn</t>
  </si>
  <si>
    <t>Mangalore Jn - Hazrat Nizamuddin</t>
  </si>
  <si>
    <t>Mangalore Jn - Kanhangad</t>
  </si>
  <si>
    <t>India, Kankanadi</t>
  </si>
  <si>
    <t>Mangalore - Kankanadi</t>
  </si>
  <si>
    <t>Mangalore Central - Mangalore Jn</t>
  </si>
  <si>
    <t>Mangalore - Navi Mumbai</t>
  </si>
  <si>
    <t>India, Palakkad</t>
  </si>
  <si>
    <t>Mangalore Central - Palakkad</t>
  </si>
  <si>
    <t>Mangalore Jn - Palakkad</t>
  </si>
  <si>
    <t>Mangalore - Palakkad</t>
  </si>
  <si>
    <t>Mangalore Central - Tiruchchirappalli Junction</t>
  </si>
  <si>
    <t>Mangalore - Tiruchirappalli</t>
  </si>
  <si>
    <t>India, Manikpur</t>
  </si>
  <si>
    <t>Manikpur Junction - Gorakhpur</t>
  </si>
  <si>
    <t>Manikpur - Gorakhpur</t>
  </si>
  <si>
    <t>Manikpur Junction - Ujjain</t>
  </si>
  <si>
    <t>Manikpur - Ujjain</t>
  </si>
  <si>
    <t>Manmad Junction - Ahmedabad Jn</t>
  </si>
  <si>
    <t>Manmad Junction - Katni</t>
  </si>
  <si>
    <t>Manmad - Katni</t>
  </si>
  <si>
    <t>Madgaon - Ghatprabha</t>
  </si>
  <si>
    <t>Margao - Karwar</t>
  </si>
  <si>
    <t>Madgaon - Ratlam</t>
  </si>
  <si>
    <t>Madgaon - Velankanni</t>
  </si>
  <si>
    <t>India, Marthandam</t>
  </si>
  <si>
    <t>Kulitthurai - Ernakulam Town North</t>
  </si>
  <si>
    <t>Marthandam - Kochi India</t>
  </si>
  <si>
    <t>India, Chittorgarh</t>
  </si>
  <si>
    <t>Mathura Jn - Chittaurgarh</t>
  </si>
  <si>
    <t>Mathura - Chittorgarh</t>
  </si>
  <si>
    <t>Mathura - Daman</t>
  </si>
  <si>
    <t>Mathura Jn - Durg</t>
  </si>
  <si>
    <t>Mathura - Durg</t>
  </si>
  <si>
    <t>Mathura Jn - Gorakhpur</t>
  </si>
  <si>
    <t>India, Mohali</t>
  </si>
  <si>
    <t>Mathura - Mohali</t>
  </si>
  <si>
    <t>Mathura Jn - Nasik Road</t>
  </si>
  <si>
    <t>Mathura - Nashik</t>
  </si>
  <si>
    <t>Mathura - Navi Mumbai</t>
  </si>
  <si>
    <t>Mathura - Prayagraj</t>
  </si>
  <si>
    <t>Mathura Jn - Pune Jn</t>
  </si>
  <si>
    <t>Mathura - Pune</t>
  </si>
  <si>
    <t>Mathura Jn - Siwan Junction</t>
  </si>
  <si>
    <t>Mau Junction - Jaunpur Junction</t>
  </si>
  <si>
    <t>Mau - Jaunpur</t>
  </si>
  <si>
    <t>Mau Junction - Tundla Junction</t>
  </si>
  <si>
    <t>Mau - Tundla</t>
  </si>
  <si>
    <t>Mau Junction - Banaras</t>
  </si>
  <si>
    <t>Mau Junction - Varanasi Jn</t>
  </si>
  <si>
    <t>Mau - Varanasi</t>
  </si>
  <si>
    <t>India, Mauranipur</t>
  </si>
  <si>
    <t>Mauranipur - Abhaneri</t>
  </si>
  <si>
    <t>Mau Ranipur - Bandikui Junction</t>
  </si>
  <si>
    <t>Mauranipur - Bandikui</t>
  </si>
  <si>
    <t>Mavelikara - New Bengaluru Terminal</t>
  </si>
  <si>
    <t>Haripad - Ernakulam</t>
  </si>
  <si>
    <t>Mavelikara - Kozhikode</t>
  </si>
  <si>
    <t>India, Mavli</t>
  </si>
  <si>
    <t>Mavli Junction - Chittaurgarh</t>
  </si>
  <si>
    <t>Mavli - Chittorgarh</t>
  </si>
  <si>
    <t>India, Mayiladuthurai</t>
  </si>
  <si>
    <t>Mayiladuthurai - Tirunelveli</t>
  </si>
  <si>
    <t>Mayiladuturai Jn - Tirunelveli</t>
  </si>
  <si>
    <t>Meerut City - Aligarh Junction</t>
  </si>
  <si>
    <t>Meerut - Aligarh</t>
  </si>
  <si>
    <t>Meerut City - Indore Jn Bg</t>
  </si>
  <si>
    <t>Meerut - Indore</t>
  </si>
  <si>
    <t>Meerut City - Virangana Lakshmibai</t>
  </si>
  <si>
    <t>Meerut - Jhansi</t>
  </si>
  <si>
    <t>Meerut City - Subedarganj</t>
  </si>
  <si>
    <t>Meerut - Prayagraj</t>
  </si>
  <si>
    <t>India, Shahjehanpur</t>
  </si>
  <si>
    <t>Meerut City - Shahjehanpur</t>
  </si>
  <si>
    <t>Meerut - Shahjehanpur</t>
  </si>
  <si>
    <t>Meerut City - Ujjain</t>
  </si>
  <si>
    <t>Meerut - Ujjain</t>
  </si>
  <si>
    <t>Mahesana Junction - Delhi</t>
  </si>
  <si>
    <t>Mahesana Junction - Delhi Shahdara Jn</t>
  </si>
  <si>
    <t>India, Nadiad</t>
  </si>
  <si>
    <t>Mahesana Junction - Nadiad Junction</t>
  </si>
  <si>
    <t>Mehsana - Navi Mumbai</t>
  </si>
  <si>
    <t>Mahesana Junction - New Delhi</t>
  </si>
  <si>
    <t>Mahesana Junction - Sabarmati Junction</t>
  </si>
  <si>
    <t>Mehsana - Sabarmati</t>
  </si>
  <si>
    <t>India, Merta City</t>
  </si>
  <si>
    <t>Merta City - Indore</t>
  </si>
  <si>
    <t>Merta Road Junction - Indore Jn Bg</t>
  </si>
  <si>
    <t>Merta Road Junction - Suratgarh Junction</t>
  </si>
  <si>
    <t>India, Arsikere</t>
  </si>
  <si>
    <t>Miraj - Arsikere</t>
  </si>
  <si>
    <t>Miraj - Kolhapur</t>
  </si>
  <si>
    <t>India, Mirzapur</t>
  </si>
  <si>
    <t>Mirzapur - Anand Vihar Trm</t>
  </si>
  <si>
    <t>Mirzapur - Sabzi Mandi</t>
  </si>
  <si>
    <t>Moradabad - Gajraula</t>
  </si>
  <si>
    <t>Moradabad - Gajraula Junction</t>
  </si>
  <si>
    <t>Moradabad - Gorakhpur</t>
  </si>
  <si>
    <t>India, Kashipur</t>
  </si>
  <si>
    <t>Moradabad - Kashipur</t>
  </si>
  <si>
    <t>Abu Road - Delhi Sarai Rohilla</t>
  </si>
  <si>
    <t>Abu Road - Delhi Shahdara Jn</t>
  </si>
  <si>
    <t>Abu Road - New Delhi</t>
  </si>
  <si>
    <t>Mumbai Cst - Alappuzha</t>
  </si>
  <si>
    <t>Mumbai Dadar - New Bengaluru Terminal</t>
  </si>
  <si>
    <t>Lokmanya Tilak Term - Bhilai Power House</t>
  </si>
  <si>
    <t>Mumbai Cst - Dhanbad Junction</t>
  </si>
  <si>
    <t>Mumbai - Dhanbad</t>
  </si>
  <si>
    <t>India, Dhule</t>
  </si>
  <si>
    <t>Mumbai Cst - Dhule</t>
  </si>
  <si>
    <t>Lokmanya Tilak Term - Ayodhya Cantt</t>
  </si>
  <si>
    <t>Lokmanya Tilak Term - Ghazipur City</t>
  </si>
  <si>
    <t>Mumbai - Ghazipur</t>
  </si>
  <si>
    <t>India, Hazaribagh Road</t>
  </si>
  <si>
    <t>Mumbai Cst - Hazaribagh Road</t>
  </si>
  <si>
    <t>Mumbai - Hazaribagh Road</t>
  </si>
  <si>
    <t>India, Janghai</t>
  </si>
  <si>
    <t>Lokmanya Tilak Term - Janghai Junction</t>
  </si>
  <si>
    <t>Mumbai - Janghai</t>
  </si>
  <si>
    <t>Mumbai Cst - Kharagpur Junction</t>
  </si>
  <si>
    <t>Mumbai Dadar - Miraj Junction</t>
  </si>
  <si>
    <t>Mumbai Central - Panvel</t>
  </si>
  <si>
    <t>Mumbai Cst - Parasnath</t>
  </si>
  <si>
    <t>Mumbai - Parasnath</t>
  </si>
  <si>
    <t>Mumbai - Pathankot</t>
  </si>
  <si>
    <t>Lokmanya Tilak Term - Raigarh</t>
  </si>
  <si>
    <t>Mumbai - Raigarh</t>
  </si>
  <si>
    <t>Mumbai - Samastipur</t>
  </si>
  <si>
    <t>Mumbai - Velankanni</t>
  </si>
  <si>
    <t>India, Murarai</t>
  </si>
  <si>
    <t>Murarai - Rampur Hat</t>
  </si>
  <si>
    <t>India, Muzaffarnagar</t>
  </si>
  <si>
    <t>Muzaffarnagar - Anand Vihar Trm</t>
  </si>
  <si>
    <t>Muzaffarnagar - Delhi Cantt</t>
  </si>
  <si>
    <t>Muzaffarnagar - Hazrat Nizamuddin</t>
  </si>
  <si>
    <t>Muzaffarpur Junction - Delhi</t>
  </si>
  <si>
    <t>Muzaffarpur Junction - Guwahati</t>
  </si>
  <si>
    <t>Muzaffarpur Junction - Jasidih Junction</t>
  </si>
  <si>
    <t>Muzaffarpur - Jasidih Deoghar</t>
  </si>
  <si>
    <t>Mysore - Shirdi</t>
  </si>
  <si>
    <t>Mysore Jn - Thanjavur</t>
  </si>
  <si>
    <t>Mysore - Thanjavur</t>
  </si>
  <si>
    <t>India, Nagaur</t>
  </si>
  <si>
    <t>Nagaur - Hyderabad</t>
  </si>
  <si>
    <t>Nagaur - Kacheguda</t>
  </si>
  <si>
    <t>Nagda Junction - Asarva</t>
  </si>
  <si>
    <t>Nagda - Ahmedabad</t>
  </si>
  <si>
    <t>Nagda Junction - Hazrat Nizamuddin</t>
  </si>
  <si>
    <t>Nagda - Delhi</t>
  </si>
  <si>
    <t>Nagercoil Jn - Tambaram</t>
  </si>
  <si>
    <t>Nagercoil Town - Tambaram</t>
  </si>
  <si>
    <t>Nagercoil - Tambaram</t>
  </si>
  <si>
    <t>Nagpur - Vrindavan</t>
  </si>
  <si>
    <t>India, Najibabad</t>
  </si>
  <si>
    <t>India, Yamunanagar Jagadhri</t>
  </si>
  <si>
    <t>Najibabad Junction - Yamunanagar Jagadhri</t>
  </si>
  <si>
    <t>Najibabad - Yamunanagar Jagadhri</t>
  </si>
  <si>
    <t>India, Nalgonda</t>
  </si>
  <si>
    <t>Nalgonda - Hyderabad</t>
  </si>
  <si>
    <t>Nalgonda - Secunderabad</t>
  </si>
  <si>
    <t>Nalgonda - Lingampalli</t>
  </si>
  <si>
    <t>Nalgonda - Telangana</t>
  </si>
  <si>
    <t>Nanded - Jhansi</t>
  </si>
  <si>
    <t>Nanded - Virangana Lakshmibai</t>
  </si>
  <si>
    <t>Nanded - Nagarsol</t>
  </si>
  <si>
    <t>India, Nandura</t>
  </si>
  <si>
    <t>Nandura - Pune</t>
  </si>
  <si>
    <t>Nandura - Pune Jn</t>
  </si>
  <si>
    <t>Nandyal - Guntur Junction</t>
  </si>
  <si>
    <t>Nasik Road - Amritsar Jn</t>
  </si>
  <si>
    <t>Nashik - Badnera</t>
  </si>
  <si>
    <t>Nasik Road - Badnera Junction</t>
  </si>
  <si>
    <t>India, Burhanpur</t>
  </si>
  <si>
    <t>Nashik - Burhanpur</t>
  </si>
  <si>
    <t>Nasik Road - Burhanpur</t>
  </si>
  <si>
    <t>Nashik - Jabalpur</t>
  </si>
  <si>
    <t>Nasik Road - Jabalpur</t>
  </si>
  <si>
    <t>Nasik Road - Shalimar</t>
  </si>
  <si>
    <t>Nashik - Lingampalli</t>
  </si>
  <si>
    <t>Nasik Road - Lingampalli</t>
  </si>
  <si>
    <t>Nashik - Mughalsarai</t>
  </si>
  <si>
    <t>Nashik - Punjab</t>
  </si>
  <si>
    <t>Nashik - Raipur</t>
  </si>
  <si>
    <t>Nasik Road - Mughal Sarai Junction</t>
  </si>
  <si>
    <t>Nashik - Vrindavan</t>
  </si>
  <si>
    <t>Nashik - West Bengal</t>
  </si>
  <si>
    <t>Navi Mumbai - Alappuzha</t>
  </si>
  <si>
    <t>Navi Mumbai - Amravati</t>
  </si>
  <si>
    <t>Navi Mumbai - Anand Gujarat</t>
  </si>
  <si>
    <t>Navi Mumbai - Anjuna</t>
  </si>
  <si>
    <t>Navi Mumbai - Badnera</t>
  </si>
  <si>
    <t>Navi Mumbai - Belagavi</t>
  </si>
  <si>
    <t>Navi Mumbai - Bharuch</t>
  </si>
  <si>
    <t>Navi Mumbai - Bhavnagar</t>
  </si>
  <si>
    <t>Navi Mumbai - Boisar</t>
  </si>
  <si>
    <t>Navi Mumbai - Burhanpur</t>
  </si>
  <si>
    <t>India, Canacona Goa</t>
  </si>
  <si>
    <t>Navi Mumbai - Canacona Goa</t>
  </si>
  <si>
    <t>Navi Mumbai - Chiplun</t>
  </si>
  <si>
    <t>Navi Mumbai - Daman</t>
  </si>
  <si>
    <t>Navi Mumbai - Dharwad</t>
  </si>
  <si>
    <t>Navi Mumbai - Falna</t>
  </si>
  <si>
    <t>Navi Mumbai - Gandhidham</t>
  </si>
  <si>
    <t>Navi Mumbai - Goa</t>
  </si>
  <si>
    <t>Navi Mumbai - Gorakhpur</t>
  </si>
  <si>
    <t>Navi Mumbai - Gwalior</t>
  </si>
  <si>
    <t>Navi Mumbai - Hubballi Dharwad</t>
  </si>
  <si>
    <t>Navi Mumbai - Hubli</t>
  </si>
  <si>
    <t>Navi Mumbai - Jamnagar</t>
  </si>
  <si>
    <t>Navi Mumbai - Kalyan</t>
  </si>
  <si>
    <t>Navi Mumbai - Kankanadi</t>
  </si>
  <si>
    <t>India, Kannur</t>
  </si>
  <si>
    <t>Navi Mumbai - Kannur</t>
  </si>
  <si>
    <t>Navi Mumbai - Kanpur</t>
  </si>
  <si>
    <t>Navi Mumbai - Karjat</t>
  </si>
  <si>
    <t>Navi Mumbai - Karwar</t>
  </si>
  <si>
    <t>Navi Mumbai - Kasaragod</t>
  </si>
  <si>
    <t>Navi Mumbai - Kayamkulam</t>
  </si>
  <si>
    <t>Navi Mumbai - Kerala</t>
  </si>
  <si>
    <t>Navi Mumbai - Khaira</t>
  </si>
  <si>
    <t>Navi Mumbai - Kota</t>
  </si>
  <si>
    <t>India, Koyilandy</t>
  </si>
  <si>
    <t>Navi Mumbai - Koyilandy</t>
  </si>
  <si>
    <t>Navi Mumbai - Kudal</t>
  </si>
  <si>
    <t>India, Latur</t>
  </si>
  <si>
    <t>Navi Mumbai - Latur</t>
  </si>
  <si>
    <t>Navi Mumbai - Lonavala</t>
  </si>
  <si>
    <t>Navi Mumbai - Lucknow</t>
  </si>
  <si>
    <t>Navi Mumbai - Maharashtra</t>
  </si>
  <si>
    <t>Navi Mumbai - Mangalore</t>
  </si>
  <si>
    <t>Navi Mumbai - Manipal</t>
  </si>
  <si>
    <t>Navi Mumbai - Manmad</t>
  </si>
  <si>
    <t>Navi Mumbai - Madgaon</t>
  </si>
  <si>
    <t>Navi Mumbai - Miraj</t>
  </si>
  <si>
    <t>Navi Mumbai - Mumbai</t>
  </si>
  <si>
    <t>India, Murdeshwar</t>
  </si>
  <si>
    <t>Navi Mumbai - Murdeshwar</t>
  </si>
  <si>
    <t>Navi Mumbai - Nanded</t>
  </si>
  <si>
    <t>Navi Mumbai - Nashik</t>
  </si>
  <si>
    <t>India, Osmanabad</t>
  </si>
  <si>
    <t>Navi Mumbai - Osmanabad</t>
  </si>
  <si>
    <t>Navi Mumbai - Parbhani</t>
  </si>
  <si>
    <t>Navi Mumbai - Parli Vaijnath</t>
  </si>
  <si>
    <t>India, Pernem Goa</t>
  </si>
  <si>
    <t>Navi Mumbai - Pernem Goa</t>
  </si>
  <si>
    <t>India, Pimpri Chinchwad</t>
  </si>
  <si>
    <t>Navi Mumbai - Pimpri Chinchwad</t>
  </si>
  <si>
    <t>Navi Mumbai - Rajkot</t>
  </si>
  <si>
    <t>Navi Mumbai - Ratlam</t>
  </si>
  <si>
    <t>Navi Mumbai - Ratnagiri</t>
  </si>
  <si>
    <t>Navi Mumbai - Sangli</t>
  </si>
  <si>
    <t>India, Sindhudurg</t>
  </si>
  <si>
    <t>Navi Mumbai - Sindhudurg</t>
  </si>
  <si>
    <t>Navi Mumbai - Solapur</t>
  </si>
  <si>
    <t>Navi Mumbai - Surat</t>
  </si>
  <si>
    <t>India, Surendranagar</t>
  </si>
  <si>
    <t>Navi Mumbai - Surendranagar</t>
  </si>
  <si>
    <t>India, Thalassery</t>
  </si>
  <si>
    <t>Navi Mumbai - Thalassery</t>
  </si>
  <si>
    <t>Navi Mumbai - Thane</t>
  </si>
  <si>
    <t>India, Thrissur</t>
  </si>
  <si>
    <t>Navi Mumbai - Thrissur</t>
  </si>
  <si>
    <t>India, Trivandrum</t>
  </si>
  <si>
    <t>Navi Mumbai - Trivandrum</t>
  </si>
  <si>
    <t>Navi Mumbai - Udupi</t>
  </si>
  <si>
    <t>Navi Mumbai - Uttar Pradesh</t>
  </si>
  <si>
    <t>India, Valsad</t>
  </si>
  <si>
    <t>Navi Mumbai - Valsad</t>
  </si>
  <si>
    <t>Navi Mumbai - Vapi</t>
  </si>
  <si>
    <t>Navi Mumbai - Varkala</t>
  </si>
  <si>
    <t>India, Navsari</t>
  </si>
  <si>
    <t>Navsari - Navi Mumbai</t>
  </si>
  <si>
    <t>Nawada - Howrah</t>
  </si>
  <si>
    <t>Nawada - Kolkata</t>
  </si>
  <si>
    <t>Nawada - West Bengal</t>
  </si>
  <si>
    <t>India, Neemuch</t>
  </si>
  <si>
    <t>Neemuch - Chittorgarh</t>
  </si>
  <si>
    <t>Nimach - Chittaurgarh</t>
  </si>
  <si>
    <t>Neemuch - Maharashtra</t>
  </si>
  <si>
    <t>Neemuch - Mumbai</t>
  </si>
  <si>
    <t>Neemuch - Rajasthan</t>
  </si>
  <si>
    <t>Nellore - Duvvada</t>
  </si>
  <si>
    <t>Nellore - Katpadi</t>
  </si>
  <si>
    <t>Nellore - Katpadi Junction</t>
  </si>
  <si>
    <t>Nellore - Lingampalli</t>
  </si>
  <si>
    <t>Nellore - Podanur</t>
  </si>
  <si>
    <t>Nellore - Podanur Junction</t>
  </si>
  <si>
    <t>Nellore - Tambaram</t>
  </si>
  <si>
    <t>India, Adampur</t>
  </si>
  <si>
    <t>New Delhi - Adampur</t>
  </si>
  <si>
    <t>New Delhi - Anugraha Narayan Road</t>
  </si>
  <si>
    <t>New Delhi - Chandipur</t>
  </si>
  <si>
    <t>New Delhi - New Cooch Behar</t>
  </si>
  <si>
    <t>New Delhi - Dwarka</t>
  </si>
  <si>
    <t>New Delhi - Eluru</t>
  </si>
  <si>
    <t>New Delhi - Gajraula</t>
  </si>
  <si>
    <t>New Delhi - Gajraula Junction</t>
  </si>
  <si>
    <t>New Delhi - Gondia</t>
  </si>
  <si>
    <t>New Delhi - Gotan</t>
  </si>
  <si>
    <t>New Delhi - Hazaribagh Road</t>
  </si>
  <si>
    <t>New Delhi - Itarsi</t>
  </si>
  <si>
    <t>New Delhi - Govindpuri</t>
  </si>
  <si>
    <t>New Delhi - Kasaragod</t>
  </si>
  <si>
    <t>New Delhi - Khurja</t>
  </si>
  <si>
    <t>New Delhi - Khurja Junction</t>
  </si>
  <si>
    <t>New Delhi - Kiul</t>
  </si>
  <si>
    <t>India, Luckeesarai</t>
  </si>
  <si>
    <t>New Delhi - Luckeesarai</t>
  </si>
  <si>
    <t>India, Lumding</t>
  </si>
  <si>
    <t>New Delhi - Lumding</t>
  </si>
  <si>
    <t>New Delhi - Lumding Junction</t>
  </si>
  <si>
    <t>New Delhi - Mainpuri</t>
  </si>
  <si>
    <t>New Delhi - Narnaul</t>
  </si>
  <si>
    <t>New Delhi - Navi Mumbai</t>
  </si>
  <si>
    <t>New Delhi - North Goa</t>
  </si>
  <si>
    <t>India, Palwal</t>
  </si>
  <si>
    <t>New Delhi - Palwal</t>
  </si>
  <si>
    <t>New Delhi - Prayagraj</t>
  </si>
  <si>
    <t>New Delhi - Khurdpur</t>
  </si>
  <si>
    <t>New Delhi - Mukerian</t>
  </si>
  <si>
    <t>New Delhi - Rampura Phul</t>
  </si>
  <si>
    <t>India, Ramdevra</t>
  </si>
  <si>
    <t>New Delhi - Ramdevra</t>
  </si>
  <si>
    <t>India, Satara</t>
  </si>
  <si>
    <t>New Delhi - Satara</t>
  </si>
  <si>
    <t>India, Shahdol</t>
  </si>
  <si>
    <t>New Delhi - Shahdol</t>
  </si>
  <si>
    <t>New Delhi - Tumakuru</t>
  </si>
  <si>
    <t>New Delhi - Zamania</t>
  </si>
  <si>
    <t>Nizamabad - Jaipur</t>
  </si>
  <si>
    <t>Nizamabad - Nanded</t>
  </si>
  <si>
    <t>Nizamabad - Rajasthan</t>
  </si>
  <si>
    <t>India, Panipat</t>
  </si>
  <si>
    <t>Panipat - Mumbai</t>
  </si>
  <si>
    <t>Panipat - Navi Mumbai</t>
  </si>
  <si>
    <t>Panipat Junction - Panvel</t>
  </si>
  <si>
    <t>Panipat - Panvel</t>
  </si>
  <si>
    <t>Panipat - Punjab</t>
  </si>
  <si>
    <t>Panvel - Anand Gujarat</t>
  </si>
  <si>
    <t>Panvel - Anjuna</t>
  </si>
  <si>
    <t>Panvel - Boisar</t>
  </si>
  <si>
    <t>Panvel - Habibganj</t>
  </si>
  <si>
    <t>Panvel - Kankanadi</t>
  </si>
  <si>
    <t>Panvel - Khaira</t>
  </si>
  <si>
    <t>Panvel - Lingampalli</t>
  </si>
  <si>
    <t>Panvel - Khed</t>
  </si>
  <si>
    <t>Panvel - Manipal</t>
  </si>
  <si>
    <t>Panvel - Murdeshwar</t>
  </si>
  <si>
    <t>Panvel - Osmanabad</t>
  </si>
  <si>
    <t>Panvel - Chinchvad</t>
  </si>
  <si>
    <t>Panvel - Pimpri Chinchwad</t>
  </si>
  <si>
    <t>Panvel - Surendranagar</t>
  </si>
  <si>
    <t>Panvel - Telangana</t>
  </si>
  <si>
    <t>Panvel - Bangkok</t>
  </si>
  <si>
    <t>Thailand, Bangkok Airport</t>
  </si>
  <si>
    <t>Panvel - Bangkok Airport</t>
  </si>
  <si>
    <t>Thailand, Don Mueang Airport</t>
  </si>
  <si>
    <t>Panvel - Don Mueang Airport</t>
  </si>
  <si>
    <t>Thailand, Rangsit</t>
  </si>
  <si>
    <t>Panvel - Rangsit</t>
  </si>
  <si>
    <t>United Arab Emirates, Dubai</t>
  </si>
  <si>
    <t>Panvel - Dubai</t>
  </si>
  <si>
    <t>United Arab Emirates, Dubai Airport</t>
  </si>
  <si>
    <t>Panvel - Dubai Airport</t>
  </si>
  <si>
    <t>India, Paramakudi</t>
  </si>
  <si>
    <t>Paramakudi - Chennai</t>
  </si>
  <si>
    <t>Parli Vaijnath - Kacheguda</t>
  </si>
  <si>
    <t>Pathankot Cantt - Jaipur</t>
  </si>
  <si>
    <t>Pathankot - Mughalsarai</t>
  </si>
  <si>
    <t>Pathankot Cantt - Mughal Sarai Junction</t>
  </si>
  <si>
    <t>Rajendra Nagar - Ara</t>
  </si>
  <si>
    <t>Patliputra - Barauni Junction</t>
  </si>
  <si>
    <t>India, Bariarpur</t>
  </si>
  <si>
    <t>Patna Jn - Bariarpur</t>
  </si>
  <si>
    <t>Patna - Bariarpur</t>
  </si>
  <si>
    <t>Rajendra Nagar - Bariarpur</t>
  </si>
  <si>
    <t>Patliputra - Khagaria Junction</t>
  </si>
  <si>
    <t>Patna Jn - Khagaria Junction</t>
  </si>
  <si>
    <t>Patna - Khagaria</t>
  </si>
  <si>
    <t>Rajendra Nagar - Khagaria Junction</t>
  </si>
  <si>
    <t>Patna Jn - Kishanganj</t>
  </si>
  <si>
    <t>Rajendra Nagar - Kishanganj</t>
  </si>
  <si>
    <t>Patna Jn - Ernakulam Jn</t>
  </si>
  <si>
    <t>Patliputra - Nagpur</t>
  </si>
  <si>
    <t>India, New Farakka</t>
  </si>
  <si>
    <t>Patna Jn - New Farakka Junction</t>
  </si>
  <si>
    <t>Patna - New Farakka</t>
  </si>
  <si>
    <t>Patna Jn - Saharsa Junction</t>
  </si>
  <si>
    <t>Rajendra Nagar - Saharsa Junction</t>
  </si>
  <si>
    <t>Patliputra - Siwan Junction</t>
  </si>
  <si>
    <t>Patna Jn - Siwan Junction</t>
  </si>
  <si>
    <t>Patna - Siwan</t>
  </si>
  <si>
    <t>Peddapalli - Kagaznagar</t>
  </si>
  <si>
    <t>Peddapalli - Sirpur Kaghaznagar</t>
  </si>
  <si>
    <t>Penukonda - Hyderabad</t>
  </si>
  <si>
    <t>Penukonda - Kacheguda</t>
  </si>
  <si>
    <t>Penukonda - Telangana</t>
  </si>
  <si>
    <t>Pernem Goa - Navi Mumbai</t>
  </si>
  <si>
    <t>India, Phagwara</t>
  </si>
  <si>
    <t>Phagwara Junction - Lucknow Nr</t>
  </si>
  <si>
    <t>Phagwara - Lucknow</t>
  </si>
  <si>
    <t>Phagwara - Uttar Pradesh</t>
  </si>
  <si>
    <t>India, Phulera</t>
  </si>
  <si>
    <t>Phulera - Jaipur</t>
  </si>
  <si>
    <t>Phulera - Jodhpur</t>
  </si>
  <si>
    <t>Phulera - Kuchaman City</t>
  </si>
  <si>
    <t>Phulera - Taj Mahal</t>
  </si>
  <si>
    <t>India, Pilibhit</t>
  </si>
  <si>
    <t>Pilibhit Junction - Lucknow Nr</t>
  </si>
  <si>
    <t>Pilibhit - Lucknow</t>
  </si>
  <si>
    <t>Chinchvad - Mumbai Cst</t>
  </si>
  <si>
    <t>Pimpri - Mumbai Cst</t>
  </si>
  <si>
    <t>Chinchvad - Nanded</t>
  </si>
  <si>
    <t>Pimpri Chinchwad - Nanded</t>
  </si>
  <si>
    <t>Pimpri Chinchwad - Navi Mumbai</t>
  </si>
  <si>
    <t>Pipariya - Indore Jn Bg</t>
  </si>
  <si>
    <t>Pipariya - Jabalpur</t>
  </si>
  <si>
    <t>India, Deoria</t>
  </si>
  <si>
    <t>Allahabad - Deoria</t>
  </si>
  <si>
    <t>Prayagraj Junction - Deoria Sadar</t>
  </si>
  <si>
    <t>Prayagraj - Khajuraho</t>
  </si>
  <si>
    <t>Prayagraj - Mumbai</t>
  </si>
  <si>
    <t>Prayagraj Junction - Allahabad City</t>
  </si>
  <si>
    <t>India, Sasaram</t>
  </si>
  <si>
    <t>Prayagraj Junction - Sasaram</t>
  </si>
  <si>
    <t>Prayagraj - Sasaram</t>
  </si>
  <si>
    <t>Prayagraj - Tundla</t>
  </si>
  <si>
    <t>Pondicherry - Nagpur</t>
  </si>
  <si>
    <t>Puducherry - Nagpur</t>
  </si>
  <si>
    <t>India, Pudukkottai</t>
  </si>
  <si>
    <t>Pudukkottai - Chennai Egmore</t>
  </si>
  <si>
    <t>India, Pulgaon</t>
  </si>
  <si>
    <t>Pulgaon - New Delhi</t>
  </si>
  <si>
    <t>Pune Jn - Chandigarh</t>
  </si>
  <si>
    <t>Pune - Jamshedpur</t>
  </si>
  <si>
    <t>Pune Jn - Jayasingpur</t>
  </si>
  <si>
    <t>Pune Jn - Mangalore Jn</t>
  </si>
  <si>
    <t>Pune Jn - Pondicherry</t>
  </si>
  <si>
    <t>Pune Jn - Sangli</t>
  </si>
  <si>
    <t>Pune Jn - Surendranagar</t>
  </si>
  <si>
    <t>Pune - Surendranagar</t>
  </si>
  <si>
    <t>Pune Jn - Tatanagar</t>
  </si>
  <si>
    <t>Pune - Tatanagar</t>
  </si>
  <si>
    <t>Pune Jn - Tirunelveli</t>
  </si>
  <si>
    <t>Pune - Tirunelveli</t>
  </si>
  <si>
    <t>Pune Jn - Valsad</t>
  </si>
  <si>
    <t>Pune - Valsad</t>
  </si>
  <si>
    <t>Dhuri Junction - Amritsar Jn</t>
  </si>
  <si>
    <t>India, Anandpur Sahib</t>
  </si>
  <si>
    <t>Bassi Pathanam - Anandpur Sahib</t>
  </si>
  <si>
    <t>Punjab - Anandpur Sahib</t>
  </si>
  <si>
    <t>Dhuri Junction - Bikaner Jn</t>
  </si>
  <si>
    <t>Punjab - Bilaspur</t>
  </si>
  <si>
    <t>Firozpur Cant - Mathura Jn</t>
  </si>
  <si>
    <t>Punjab - Mathura</t>
  </si>
  <si>
    <t>India, Purulia</t>
  </si>
  <si>
    <t>Purulia Junction - Shalimar</t>
  </si>
  <si>
    <t>Purulia - Kolkata</t>
  </si>
  <si>
    <t>India, Rae Bareli</t>
  </si>
  <si>
    <t>Rae Bareli Junction - Lucknow Nr</t>
  </si>
  <si>
    <t>Rae Bareli - Lucknow</t>
  </si>
  <si>
    <t>Raichur - Delhi</t>
  </si>
  <si>
    <t>Raichur - Delhi Safdarjung</t>
  </si>
  <si>
    <t>Raichur - Hazrat Nizamuddin</t>
  </si>
  <si>
    <t>India, Bagbahara</t>
  </si>
  <si>
    <t>Raipur - Bagbahara</t>
  </si>
  <si>
    <t>Phulera Junction - Agra Cantt</t>
  </si>
  <si>
    <t>Sadulpur Junction - Ahmedabad Jn</t>
  </si>
  <si>
    <t>Didwana - Delhi Sarai Rohilla</t>
  </si>
  <si>
    <t>Sadulpur Junction - Delhi</t>
  </si>
  <si>
    <t>Suratgarh Junction - Gorakhpur</t>
  </si>
  <si>
    <t>Phulera Junction - Jaipur</t>
  </si>
  <si>
    <t>Phulera Junction - Jodhpur Jn</t>
  </si>
  <si>
    <t>India, Rajpura</t>
  </si>
  <si>
    <t>Rajpura Junction - Delhi Cantt</t>
  </si>
  <si>
    <t>Rajpura Junction - Ghaziabad</t>
  </si>
  <si>
    <t>India, Ramanathapuram</t>
  </si>
  <si>
    <t>Ramanathapuram - Mandapam</t>
  </si>
  <si>
    <t>Rampur - Ludhiana</t>
  </si>
  <si>
    <t>Ranchi - Parasnath</t>
  </si>
  <si>
    <t>Ranchi - Vellore</t>
  </si>
  <si>
    <t>Ranipet - Chennai</t>
  </si>
  <si>
    <t>Ratlam - Gujarat</t>
  </si>
  <si>
    <t>Ratlam - Kerala</t>
  </si>
  <si>
    <t>Ratlam - Navi Mumbai</t>
  </si>
  <si>
    <t>Ratlam - Pushkar</t>
  </si>
  <si>
    <t>Ratnagiri - Anjuna</t>
  </si>
  <si>
    <t>Ratnagiri - Navi Mumbai</t>
  </si>
  <si>
    <t>Rayagada - Visakhapatnam</t>
  </si>
  <si>
    <t>India, Rohtak</t>
  </si>
  <si>
    <t>Rohtak - Basti</t>
  </si>
  <si>
    <t>Rohtak - Vrindavan</t>
  </si>
  <si>
    <t>Roorkee - Bhopal</t>
  </si>
  <si>
    <t>Roorkee - Bhopal Jn</t>
  </si>
  <si>
    <t>Roorkee - Howrah</t>
  </si>
  <si>
    <t>Roorkee - Kolkata</t>
  </si>
  <si>
    <t>Roorkee - Madhya Pradesh</t>
  </si>
  <si>
    <t>Roorkee - Najibabad</t>
  </si>
  <si>
    <t>Roorkee - Najibabad Junction</t>
  </si>
  <si>
    <t>Roorkee - Pathankot</t>
  </si>
  <si>
    <t>Roorkee - Pathankot Cantt</t>
  </si>
  <si>
    <t>India, Patiala</t>
  </si>
  <si>
    <t>Roorkee - Patiala</t>
  </si>
  <si>
    <t>Roorkee - West Bengal</t>
  </si>
  <si>
    <t>India, Rudauli</t>
  </si>
  <si>
    <t>Rudauli - Haridwar</t>
  </si>
  <si>
    <t>Rudauli - Haridwar Jn</t>
  </si>
  <si>
    <t>Rudauli - Uttarakhand</t>
  </si>
  <si>
    <t>Rudrapur City - Amritsar Jn</t>
  </si>
  <si>
    <t>India, Rupnagar</t>
  </si>
  <si>
    <t>Rupnagar - Gujarat</t>
  </si>
  <si>
    <t>Rupnagar - Sabarmati</t>
  </si>
  <si>
    <t>Rupnagar - Sabarmati Junction</t>
  </si>
  <si>
    <t>Sabarmati - Abhaneri</t>
  </si>
  <si>
    <t>Sabarmati Junction Sbt - Ahmedabad Jn</t>
  </si>
  <si>
    <t>Sabarmati Junction - Bandikui Junction</t>
  </si>
  <si>
    <t>Sabarmati - Bandikui</t>
  </si>
  <si>
    <t>India, Beawar</t>
  </si>
  <si>
    <t>Sabarmati Junction - Beawar</t>
  </si>
  <si>
    <t>Sabarmati - Beawar</t>
  </si>
  <si>
    <t>Sabarmati Junction - Kishangarh</t>
  </si>
  <si>
    <t>Sabarmati - Kishangarh</t>
  </si>
  <si>
    <t>India, Rewari</t>
  </si>
  <si>
    <t>Sabarmati Junction - Rewari</t>
  </si>
  <si>
    <t>Sabarmati - Rewari</t>
  </si>
  <si>
    <t>Sabarmati Junction - Una Himachal</t>
  </si>
  <si>
    <t>Sabarmati - Una Himachal</t>
  </si>
  <si>
    <t>Sadulpur - Ahmedabad</t>
  </si>
  <si>
    <t>Sadulpur - Gujarat</t>
  </si>
  <si>
    <t>Sadulpur - New Delhi</t>
  </si>
  <si>
    <t>Sagar - Chittorgarh</t>
  </si>
  <si>
    <t>Sagar - Guna</t>
  </si>
  <si>
    <t>Saugor - Guna</t>
  </si>
  <si>
    <t>Sagar - Katni</t>
  </si>
  <si>
    <t>Saugor - Katni Murwara</t>
  </si>
  <si>
    <t>Sagar - Maharashtra</t>
  </si>
  <si>
    <t>Sagar - Mathura</t>
  </si>
  <si>
    <t>Saugor - Mathura Jn</t>
  </si>
  <si>
    <t>Sagar - Mumbai</t>
  </si>
  <si>
    <t>Saugor - Lokmanya Tilak Term</t>
  </si>
  <si>
    <t>Sagar - Prayagraj</t>
  </si>
  <si>
    <t>Sagar - Vrindavan</t>
  </si>
  <si>
    <t>India, Deoband</t>
  </si>
  <si>
    <t>Saharanpur - Deoband</t>
  </si>
  <si>
    <t>Saharanpur - Gaya</t>
  </si>
  <si>
    <t>Saharanpur - Maharashtra</t>
  </si>
  <si>
    <t>Saharanpur - Mughalsarai</t>
  </si>
  <si>
    <t>Saharsa Junction - Begu Sarai</t>
  </si>
  <si>
    <t>Saharsa - Begusarai</t>
  </si>
  <si>
    <t>Saharsa Junction - Anand Vihar Trm</t>
  </si>
  <si>
    <t>Samalkot Junction - Sainagar Shirdi</t>
  </si>
  <si>
    <t>Samalkot - Shirdi</t>
  </si>
  <si>
    <t>Samalkot Junction - Tenali Junction</t>
  </si>
  <si>
    <t>Samalkot - Tenali</t>
  </si>
  <si>
    <t>Samastipur Junction - New Bengaluru Terminal</t>
  </si>
  <si>
    <t>Samastipur - Bangalore</t>
  </si>
  <si>
    <t>Samastipur Junction - Jammu Tawi</t>
  </si>
  <si>
    <t>Samastipur - Jammu</t>
  </si>
  <si>
    <t>Samastipur - Jammu And Kashmir</t>
  </si>
  <si>
    <t>Samastipur - Jammu Kashmir</t>
  </si>
  <si>
    <t>Samastipur - Karnataka</t>
  </si>
  <si>
    <t>Samastipur Junction - Purnea Junction</t>
  </si>
  <si>
    <t>Samastipur - Purnia</t>
  </si>
  <si>
    <t>India, Samsi</t>
  </si>
  <si>
    <t>Samsi - Howrah</t>
  </si>
  <si>
    <t>Samsi - Jalpaiguri</t>
  </si>
  <si>
    <t>Samsi - Jalpaiguri Road</t>
  </si>
  <si>
    <t>Samsi - Kolkata</t>
  </si>
  <si>
    <t>Samsi - Sealdah</t>
  </si>
  <si>
    <t>Samsi - West Bengal</t>
  </si>
  <si>
    <t>Sasaram - Mughal Sarai Junction</t>
  </si>
  <si>
    <t>Satna - Bangalore</t>
  </si>
  <si>
    <t>Satna - New Bengaluru Terminal</t>
  </si>
  <si>
    <t>Sevagram - Bhopal</t>
  </si>
  <si>
    <t>Sevagram - Bhopal Jn</t>
  </si>
  <si>
    <t>Shahdol - Ujjain</t>
  </si>
  <si>
    <t>India, Shegaon</t>
  </si>
  <si>
    <t>Shegaon - Akola</t>
  </si>
  <si>
    <t>Shegaon - Akola Junction</t>
  </si>
  <si>
    <t>Shegaon - Maharashtra</t>
  </si>
  <si>
    <t>Shegaon - Nashik</t>
  </si>
  <si>
    <t>Shegaon - Nasik Road</t>
  </si>
  <si>
    <t>Shegaon - Sevagram</t>
  </si>
  <si>
    <t>Shegaon - Wardha</t>
  </si>
  <si>
    <t>Shegaon - Wardha Junction</t>
  </si>
  <si>
    <t>Bagdogra - Alipur Duar Junction</t>
  </si>
  <si>
    <t>New Jalpaiguri - Khagaria Junction</t>
  </si>
  <si>
    <t>Siliguri - Khagaria</t>
  </si>
  <si>
    <t>Siliguri Junction - Malda Town</t>
  </si>
  <si>
    <t>New Jalpaiguri - Tambaram</t>
  </si>
  <si>
    <t>Siliguri - Tambaram</t>
  </si>
  <si>
    <t>Simhachalam - Amadalavalasa</t>
  </si>
  <si>
    <t>India, Parvatipuram</t>
  </si>
  <si>
    <t>Simhachalam - Parvatipuram</t>
  </si>
  <si>
    <t>Sindhudurg - Kalyan</t>
  </si>
  <si>
    <t>Sindhudurg - Margao</t>
  </si>
  <si>
    <t>Sindhudurg - Navi Mumbai</t>
  </si>
  <si>
    <t>Sindhudurg - North Goa</t>
  </si>
  <si>
    <t>Sindhudurg - Old Goa</t>
  </si>
  <si>
    <t>Singarayakonda - Secunderabad</t>
  </si>
  <si>
    <t>Singarayakonda - Lingampalli</t>
  </si>
  <si>
    <t>Singarayakonda - Telangana</t>
  </si>
  <si>
    <t>India, Singrauli</t>
  </si>
  <si>
    <t>Singrauli - Delhi</t>
  </si>
  <si>
    <t>Singrauli - Hazrat Nizamuddin</t>
  </si>
  <si>
    <t>Singrauli - Howrah</t>
  </si>
  <si>
    <t>Singrauli - Kolkata</t>
  </si>
  <si>
    <t>Singrauli - New Delhi</t>
  </si>
  <si>
    <t>Singrauli - West Bengal</t>
  </si>
  <si>
    <t>Sirhind Junction - Jaipur</t>
  </si>
  <si>
    <t>Sirhind - Jaipur</t>
  </si>
  <si>
    <t>Sirhind Junction - Jammu Tawi</t>
  </si>
  <si>
    <t>Sirhind - Jammu</t>
  </si>
  <si>
    <t>Sirhind - Jammu And Kashmir</t>
  </si>
  <si>
    <t>Sirhind - Jammu Kashmir</t>
  </si>
  <si>
    <t>Sirhind Junction - Mathura Jn</t>
  </si>
  <si>
    <t>Sirhind - Mathura</t>
  </si>
  <si>
    <t>Sirhind - Vrindavan</t>
  </si>
  <si>
    <t>India, Sirsa</t>
  </si>
  <si>
    <t>Sirsa - Rewari</t>
  </si>
  <si>
    <t>Sitamarhi Jn - Muzaffarpur Junction</t>
  </si>
  <si>
    <t>India, Sitapur</t>
  </si>
  <si>
    <t>India, Katra Vaishno Devi</t>
  </si>
  <si>
    <t>Sitapur - Katra Vaishno Devi</t>
  </si>
  <si>
    <t>India, Shri Mata Vaishno</t>
  </si>
  <si>
    <t>Sitapur - Shri Mata Vaishno</t>
  </si>
  <si>
    <t>India, Sivaganga</t>
  </si>
  <si>
    <t>Sivaganga - Chennai</t>
  </si>
  <si>
    <t>Siwan Junction - Asansol Junction</t>
  </si>
  <si>
    <t>Siwan - Asansol</t>
  </si>
  <si>
    <t>Siwan Junction - Chhapra</t>
  </si>
  <si>
    <t>Siwan - Chhapra</t>
  </si>
  <si>
    <t>India, Hajipur</t>
  </si>
  <si>
    <t>Siwan Junction - Hajipur Junction</t>
  </si>
  <si>
    <t>Siwan - Hajipur</t>
  </si>
  <si>
    <t>Siwan Junction - Howrah</t>
  </si>
  <si>
    <t>Siwan - Howrah</t>
  </si>
  <si>
    <t>Siwan - Jharkhand</t>
  </si>
  <si>
    <t>Siwan Junction - Aishbagh</t>
  </si>
  <si>
    <t>Siwan Junction - Lucknow Ne</t>
  </si>
  <si>
    <t>Siwan Junction - Lucknow Nr</t>
  </si>
  <si>
    <t>Siwan Junction - Mathura Jn</t>
  </si>
  <si>
    <t>Siwan Junction - New Delhi</t>
  </si>
  <si>
    <t>Siwan Junction - Ranchi</t>
  </si>
  <si>
    <t>Siwan - Ranchi</t>
  </si>
  <si>
    <t>Siwan - Uttar Pradesh</t>
  </si>
  <si>
    <t>Siwan - Vrindavan</t>
  </si>
  <si>
    <t>Solapur Junction - Broadmeadow</t>
  </si>
  <si>
    <t>Solapur - Newcastle New South Wales</t>
  </si>
  <si>
    <t>Solapur Junction - Ajmer Jn</t>
  </si>
  <si>
    <t>Solapur - Ajmer</t>
  </si>
  <si>
    <t>Solapur Junction - Yelahanka Junction</t>
  </si>
  <si>
    <t>Solapur - Navi Mumbai</t>
  </si>
  <si>
    <t>Solapur - Pushkar</t>
  </si>
  <si>
    <t>Solapur - Yelhanka</t>
  </si>
  <si>
    <t>Somnath - Jabalpur</t>
  </si>
  <si>
    <t>Somnath - Kalyan</t>
  </si>
  <si>
    <t>Sonipat - Lucknow Nr</t>
  </si>
  <si>
    <t>Sonipat - Mohali</t>
  </si>
  <si>
    <t>Sonipat - Sahibzada Ajeet Singh Nagar Mohali</t>
  </si>
  <si>
    <t>Sonipat - Mughalsarai</t>
  </si>
  <si>
    <t>Sonipat - Uttar Pradesh</t>
  </si>
  <si>
    <t>Sonipat - Mughal Sarai Junction</t>
  </si>
  <si>
    <t>Sonipat - Varanasi</t>
  </si>
  <si>
    <t>India, Sonpur</t>
  </si>
  <si>
    <t>Sonpur Junction - Bareilly</t>
  </si>
  <si>
    <t>Sonpur - Bareilly</t>
  </si>
  <si>
    <t>Sonpur Junction - Jaynagar</t>
  </si>
  <si>
    <t>Sonpur - Jainagar Bihar</t>
  </si>
  <si>
    <t>Sonpur - Prayagraj</t>
  </si>
  <si>
    <t>India, Sri Ganganagar</t>
  </si>
  <si>
    <t>Shri Ganganagar - Patiala</t>
  </si>
  <si>
    <t>Sri Ganganagar - Patiala</t>
  </si>
  <si>
    <t>Sri Kalahasti - Warangal</t>
  </si>
  <si>
    <t>Srikalahasti - Warangal</t>
  </si>
  <si>
    <t>Sultanganj - Delhi</t>
  </si>
  <si>
    <t>Surat - Delhi Safdarjung</t>
  </si>
  <si>
    <t>Surat - Botad Junction</t>
  </si>
  <si>
    <t>Surat - Prayagraj Cheoki Jn</t>
  </si>
  <si>
    <t>Surat - Satna</t>
  </si>
  <si>
    <t>India, Suratgarh</t>
  </si>
  <si>
    <t>Suratgarh - Gorakhpur</t>
  </si>
  <si>
    <t>Taj Mahal - Sonipat</t>
  </si>
  <si>
    <t>Tambaram - Chengalpattu</t>
  </si>
  <si>
    <t>Tambaram - Secunderabad</t>
  </si>
  <si>
    <t>Tambaram - Thanjavur</t>
  </si>
  <si>
    <t>Tanakpur - Lucknow</t>
  </si>
  <si>
    <t>Tanakpur - Lucknow Nr</t>
  </si>
  <si>
    <t>Tatanagar - Sabzi Mandi</t>
  </si>
  <si>
    <t>Tatanagar - Pune</t>
  </si>
  <si>
    <t>Tatanagar - Pune Jn</t>
  </si>
  <si>
    <t>Telangana - Adoni</t>
  </si>
  <si>
    <t>Telangana - Amravati</t>
  </si>
  <si>
    <t>Telangana - Annavaram</t>
  </si>
  <si>
    <t>Telangana - Badnera</t>
  </si>
  <si>
    <t>India, Bhongir</t>
  </si>
  <si>
    <t>Telangana - Bhongir</t>
  </si>
  <si>
    <t>Telangana - Bidar</t>
  </si>
  <si>
    <t>Telangana - Bilaspur</t>
  </si>
  <si>
    <t>Telangana - Brahmapur</t>
  </si>
  <si>
    <t>Telangana - Changanaseri</t>
  </si>
  <si>
    <t>Telangana - Churu</t>
  </si>
  <si>
    <t>Telangana - Dharmavaram</t>
  </si>
  <si>
    <t>Telangana - Faridabad</t>
  </si>
  <si>
    <t>Telangana - Ganagapur Road</t>
  </si>
  <si>
    <t>Telangana - Gooty</t>
  </si>
  <si>
    <t>Telangana - Hindupur</t>
  </si>
  <si>
    <t>Telangana - Jalna</t>
  </si>
  <si>
    <t>Telangana - Kagaznagar</t>
  </si>
  <si>
    <t>Telangana - Kanyakumari</t>
  </si>
  <si>
    <t>Telangana - Karur</t>
  </si>
  <si>
    <t>Telangana - Kasibugga</t>
  </si>
  <si>
    <t>Telangana - Kayamkulam</t>
  </si>
  <si>
    <t>Telangana - Kharagpur</t>
  </si>
  <si>
    <t>Telangana - Kottayam</t>
  </si>
  <si>
    <t>Telangana - Machilipatnam</t>
  </si>
  <si>
    <t>India, Mahbubnagar</t>
  </si>
  <si>
    <t>Telangana - Mahbubnagar</t>
  </si>
  <si>
    <t>India, Mantralayam</t>
  </si>
  <si>
    <t>Telangana - Mantralayam</t>
  </si>
  <si>
    <t>Telangana - Mathura</t>
  </si>
  <si>
    <t>Telangana - Miryalaguda</t>
  </si>
  <si>
    <t>India, Naidupeta</t>
  </si>
  <si>
    <t>Telangana - Naidupeta</t>
  </si>
  <si>
    <t>Telangana - Narasapuram</t>
  </si>
  <si>
    <t>Telangana - Parbhani</t>
  </si>
  <si>
    <t>Telangana - Parli Vaijnath</t>
  </si>
  <si>
    <t>Telangana - Peddapalli</t>
  </si>
  <si>
    <t>Telangana - Pithapuram</t>
  </si>
  <si>
    <t>Telangana - Sattenapalle</t>
  </si>
  <si>
    <t>Telangana - Singarayakonda</t>
  </si>
  <si>
    <t>India, Tadipatri</t>
  </si>
  <si>
    <t>Telangana - Tadipatri</t>
  </si>
  <si>
    <t>Telangana - Vikarabad</t>
  </si>
  <si>
    <t>Telangana - Villupuram</t>
  </si>
  <si>
    <t>Telangana - Vizianagram</t>
  </si>
  <si>
    <t>Telangana - Vrindavan</t>
  </si>
  <si>
    <t>Telangana - Yadgir</t>
  </si>
  <si>
    <t>Telangana - Yerraguntla</t>
  </si>
  <si>
    <t>India, Gudur</t>
  </si>
  <si>
    <t>Tenali Junction - Gudur Junction</t>
  </si>
  <si>
    <t>Tenali - Gudur</t>
  </si>
  <si>
    <t>Tenali Junction - Lingampalli</t>
  </si>
  <si>
    <t>Tenali - Lingampalli</t>
  </si>
  <si>
    <t>Tenali Junction - Nellore</t>
  </si>
  <si>
    <t>Tenali - Nellore</t>
  </si>
  <si>
    <t>Tenkasi Jn - Tambaram</t>
  </si>
  <si>
    <t>Tenkasi - Tambaram</t>
  </si>
  <si>
    <t>Tenkasi Jn - Tirunelveli</t>
  </si>
  <si>
    <t>Tenkasi - Tirunelveli</t>
  </si>
  <si>
    <t>Tenkasi Jn - Velankanni</t>
  </si>
  <si>
    <t>Tenkasi - Velankanni</t>
  </si>
  <si>
    <t>Thalassery - Margao</t>
  </si>
  <si>
    <t>Thalassery - Navi Mumbai</t>
  </si>
  <si>
    <t>Thalassery - North Goa</t>
  </si>
  <si>
    <t>Thalassery - Old Goa</t>
  </si>
  <si>
    <t>Thalassery - Shoranur</t>
  </si>
  <si>
    <t>Thane - Ahmadnagar</t>
  </si>
  <si>
    <t>Thane - Rani Kamalapati</t>
  </si>
  <si>
    <t>India, Hingoli</t>
  </si>
  <si>
    <t>Thane - Hingoli</t>
  </si>
  <si>
    <t>Thane - Hingoli Deccan</t>
  </si>
  <si>
    <t>Thane - Janghai</t>
  </si>
  <si>
    <t>Thane - Janghai Junction</t>
  </si>
  <si>
    <t>India, Kasara</t>
  </si>
  <si>
    <t>Thane - Kasara</t>
  </si>
  <si>
    <t>Thane - Lingampalli</t>
  </si>
  <si>
    <t>Thane - Margao</t>
  </si>
  <si>
    <t>Thane - Navi Mumbai</t>
  </si>
  <si>
    <t>Thane - North Goa</t>
  </si>
  <si>
    <t>Thane - Old Goa</t>
  </si>
  <si>
    <t>Thanjavur - Mayiladuthurai</t>
  </si>
  <si>
    <t>Thanjavur - Mayiladuturai Jn</t>
  </si>
  <si>
    <t>Thanjavur - Mysore</t>
  </si>
  <si>
    <t>Thanjavur - Mysore Jn</t>
  </si>
  <si>
    <t>Thanjavur - Pudukkottai</t>
  </si>
  <si>
    <t>India, Theni</t>
  </si>
  <si>
    <t>Teni - Madurai Junction</t>
  </si>
  <si>
    <t>Theni - Madurai</t>
  </si>
  <si>
    <t>India, Thoothukudi</t>
  </si>
  <si>
    <t>Thoothukudi - Erode</t>
  </si>
  <si>
    <t>Tuticorin - Erode</t>
  </si>
  <si>
    <t>Tuticorin - Tirunelveli</t>
  </si>
  <si>
    <t>Thoothukudi - Tirunelveli</t>
  </si>
  <si>
    <t>Thrissur - Karunagapalli</t>
  </si>
  <si>
    <t>Thrissur - Margao</t>
  </si>
  <si>
    <t>Thrissur - Navi Mumbai</t>
  </si>
  <si>
    <t>Thrissur - North Goa</t>
  </si>
  <si>
    <t>Thrissur - Old Goa</t>
  </si>
  <si>
    <t>India, Tikamgarh</t>
  </si>
  <si>
    <t>Tikamgarh - Rani Kamalapati</t>
  </si>
  <si>
    <t>Tikamgarh - Habibganj</t>
  </si>
  <si>
    <t>Tinsukia - Varanasi</t>
  </si>
  <si>
    <t>Tinsukia - Varanasi Jn</t>
  </si>
  <si>
    <t>Tiruchchirappalli Junction - Cuddalore Port Junction</t>
  </si>
  <si>
    <t>Tiruchchirappalli Junction - Tirupadripulyur</t>
  </si>
  <si>
    <t>Tiruchirappalli - Cuddalore</t>
  </si>
  <si>
    <t>Tiruchchirappalli Junction - Manaparai</t>
  </si>
  <si>
    <t>Tirunelveli - Alappuzha</t>
  </si>
  <si>
    <t>Tirunelveli - Mandapam</t>
  </si>
  <si>
    <t>Tirunelveli - Margao</t>
  </si>
  <si>
    <t>Tirunelveli - Navi Mumbai</t>
  </si>
  <si>
    <t>Tirunelveli - Panvel</t>
  </si>
  <si>
    <t>Tirunelveli - Tenkasi</t>
  </si>
  <si>
    <t>Tirunelveli - Tenkasi Jn</t>
  </si>
  <si>
    <t>Tirupati - Amadalavalasa</t>
  </si>
  <si>
    <t>Tirupati - Bhongir</t>
  </si>
  <si>
    <t>Tirupati - Dharmavaram</t>
  </si>
  <si>
    <t>Tirupati - Dharmavaram Junction</t>
  </si>
  <si>
    <t>Renigunta Junction - Tirupati</t>
  </si>
  <si>
    <t>Tirupati - Renigunta Junction</t>
  </si>
  <si>
    <t>India, Tiruttani</t>
  </si>
  <si>
    <t>Renigunta Junction - Tiruttani</t>
  </si>
  <si>
    <t>Tirupati - Tiruttani</t>
  </si>
  <si>
    <t>Tirupati - Vikarabad</t>
  </si>
  <si>
    <t>Tirupati - Vikarabad Junction</t>
  </si>
  <si>
    <t>India, Tirupattur</t>
  </si>
  <si>
    <t>Tirupattur Junction - Coimbatore</t>
  </si>
  <si>
    <t>Tirupattur - Coimbatore</t>
  </si>
  <si>
    <t>Tirupattur Junction - Podanur Junction</t>
  </si>
  <si>
    <t>Tirupattur - Podanur</t>
  </si>
  <si>
    <t>India, Salem</t>
  </si>
  <si>
    <t>Tirupattur Junction - Salem Junction</t>
  </si>
  <si>
    <t>Tirupattur - Salem</t>
  </si>
  <si>
    <t>Tirupattur - Tamil Nadu</t>
  </si>
  <si>
    <t>Tirupattur Junction - Tiruppur</t>
  </si>
  <si>
    <t>Tirupattur - Tiruppur</t>
  </si>
  <si>
    <t>Tiruppur - New Bengaluru Terminal</t>
  </si>
  <si>
    <t>Tiruppur - Yelahanka Junction</t>
  </si>
  <si>
    <t>Tiruppur - Karur</t>
  </si>
  <si>
    <t>Tiruppur - Kayamkulam</t>
  </si>
  <si>
    <t>Tiruppur - Kayamkulam Junction</t>
  </si>
  <si>
    <t>Tirupur - Kayamkulam</t>
  </si>
  <si>
    <t>Tiruppur - Ramanathapuram</t>
  </si>
  <si>
    <t>Tiruppur - Tiruchchirappalli Junction</t>
  </si>
  <si>
    <t>Tiruppur - Vriddhachalam Junction</t>
  </si>
  <si>
    <t>Tiruppur - Vridhachalam</t>
  </si>
  <si>
    <t>Tiruppur - Yelhanka</t>
  </si>
  <si>
    <t>Tirur - Aluva</t>
  </si>
  <si>
    <t>Tirur - Yesvantpur</t>
  </si>
  <si>
    <t>Tirur - Coimbatore</t>
  </si>
  <si>
    <t>Tirur - Podanur</t>
  </si>
  <si>
    <t>Tirur - Podanur Junction</t>
  </si>
  <si>
    <t>Tirur - Tamil Nadu</t>
  </si>
  <si>
    <t>Tirur - Tiruchchirappalli Junction</t>
  </si>
  <si>
    <t>Tirur - Tiruchirappalli</t>
  </si>
  <si>
    <t>India, Tiruvalla</t>
  </si>
  <si>
    <t>Tiruvalla - Chhattisgarh</t>
  </si>
  <si>
    <t>Tiruvalla - Raipur Jn</t>
  </si>
  <si>
    <t>Tiruvalla - Pune</t>
  </si>
  <si>
    <t>Tiruvalla - Pune Jn</t>
  </si>
  <si>
    <t>Tiruvalla - Raipur</t>
  </si>
  <si>
    <t>Tiruvalla - Velankanni</t>
  </si>
  <si>
    <t>Kochuveli - Basti</t>
  </si>
  <si>
    <t>Trivandrum - Basti</t>
  </si>
  <si>
    <t>Kazhakkoottam - Chennai</t>
  </si>
  <si>
    <t>Trivandrum Central - Shalimar</t>
  </si>
  <si>
    <t>Kazhakkoottam - Mangalore</t>
  </si>
  <si>
    <t>Kochuveli - Nagercoil Town</t>
  </si>
  <si>
    <t>Tumakuru - Mantralayam</t>
  </si>
  <si>
    <t>Tumkur - Manthralayam Road</t>
  </si>
  <si>
    <t>Tundla Junction - Govindpuri</t>
  </si>
  <si>
    <t>Ujjain - Prayagraj</t>
  </si>
  <si>
    <t>India, Unnao</t>
  </si>
  <si>
    <t>Unnao Junction - Gomti Nagar Lucknow</t>
  </si>
  <si>
    <t>Unnao Junction - Lucknow Ne</t>
  </si>
  <si>
    <t>Unnao Junction - Lucknow Nr</t>
  </si>
  <si>
    <t>Unnao - Lucknow</t>
  </si>
  <si>
    <t>India, Uruli</t>
  </si>
  <si>
    <t>Uruli - Mumbai Cst</t>
  </si>
  <si>
    <t>Ragaul - Raipur Jn</t>
  </si>
  <si>
    <t>Farrukhabad - Jaipur</t>
  </si>
  <si>
    <t>Chopan - Lucknow Nr</t>
  </si>
  <si>
    <t>Bhatni Jn - Lokmanya Tilak Term</t>
  </si>
  <si>
    <t>Salempur Junction - Banaras</t>
  </si>
  <si>
    <t>Salempur Junction - Varanasi Jn</t>
  </si>
  <si>
    <t>Vadodara - Ajmer Jn</t>
  </si>
  <si>
    <t>India, Amalner</t>
  </si>
  <si>
    <t>Vadodara - Amalner</t>
  </si>
  <si>
    <t>Vadodara - Chhattisgarh</t>
  </si>
  <si>
    <t>Vadodara - Raipur Jn</t>
  </si>
  <si>
    <t>Vadodara - Gwalior</t>
  </si>
  <si>
    <t>Vadodara - Gwalior Jn</t>
  </si>
  <si>
    <t>Vadodara - Nadiad Junction</t>
  </si>
  <si>
    <t>India, Vaniyambadi</t>
  </si>
  <si>
    <t>Vaniyambadi - Bangalore</t>
  </si>
  <si>
    <t>Vaniyambadi - Ksr Bangalore</t>
  </si>
  <si>
    <t>Vaniyambadi - New Bengaluru Terminal</t>
  </si>
  <si>
    <t>Vapi - Chandigarh</t>
  </si>
  <si>
    <t>Mughal Sarai Junction - Ajmer Jn</t>
  </si>
  <si>
    <t>Mughal Sarai Junction - Bhagalpur</t>
  </si>
  <si>
    <t>Varanasi - Bhagalpur</t>
  </si>
  <si>
    <t>Varanasi Jn - Sant Hirdaram Nagar</t>
  </si>
  <si>
    <t>Banaras - Buxar</t>
  </si>
  <si>
    <t>Mughal Sarai Junction - Buxar</t>
  </si>
  <si>
    <t>Varanasi Jn - Buxar</t>
  </si>
  <si>
    <t>Varanasi - Buxar</t>
  </si>
  <si>
    <t>Mughal Sarai Junction - Perambur</t>
  </si>
  <si>
    <t>Varanasi Jn - Durg</t>
  </si>
  <si>
    <t>Varanasi - Durg</t>
  </si>
  <si>
    <t>Banaras - Ghazipur City</t>
  </si>
  <si>
    <t>Varanasi Jn - Ghazipur City</t>
  </si>
  <si>
    <t>Varanasi - Ghazipur</t>
  </si>
  <si>
    <t>Mughal Sarai Junction - Kamakhya</t>
  </si>
  <si>
    <t>Banaras - Sealdah</t>
  </si>
  <si>
    <t>India, Maihar</t>
  </si>
  <si>
    <t>Banaras - Maihar</t>
  </si>
  <si>
    <t>Mughal Sarai Junction - Maihar</t>
  </si>
  <si>
    <t>Varanasi Jn - Maihar</t>
  </si>
  <si>
    <t>Varanasi Jn - Manikpur Junction</t>
  </si>
  <si>
    <t>Varanasi - Manikpur</t>
  </si>
  <si>
    <t>Banaras - Muzaffarpur Junction</t>
  </si>
  <si>
    <t>Mughal Sarai Junction - Muzaffarpur Junction</t>
  </si>
  <si>
    <t>Mughal Sarai Junction - Puri</t>
  </si>
  <si>
    <t>Varanasi - Pushkar</t>
  </si>
  <si>
    <t>Varanasi Jn - Shri Mata Vaishno</t>
  </si>
  <si>
    <t>Varkala - Punkunnam</t>
  </si>
  <si>
    <t>Varkala - Sasthankotta</t>
  </si>
  <si>
    <t>Vellore - Vijayawada</t>
  </si>
  <si>
    <t>Veraval - Jabalpur</t>
  </si>
  <si>
    <t>Vijayawada Jn - Chirala</t>
  </si>
  <si>
    <t>Vijayawada Jn - New Guntur</t>
  </si>
  <si>
    <t>Vijayawada Jn - Vizianagram Junction</t>
  </si>
  <si>
    <t>Vikarabad Junction - Hyderabad Decan</t>
  </si>
  <si>
    <t>Vikarabad Junction - Kacheguda</t>
  </si>
  <si>
    <t>Vikarabad Junction - Secunderabad</t>
  </si>
  <si>
    <t>Vikarabad - Hyderabad</t>
  </si>
  <si>
    <t>Villuparam Junction - Kacheguda</t>
  </si>
  <si>
    <t>Villupuram - Hyderabad</t>
  </si>
  <si>
    <t>Villuparam Junction - Mayiladuturai Jn</t>
  </si>
  <si>
    <t>Villupuram - Mayiladuthurai</t>
  </si>
  <si>
    <t>Villuparam Junction - Srirangam</t>
  </si>
  <si>
    <t>Villupuram - Srirangam</t>
  </si>
  <si>
    <t>Villupuram - Telangana</t>
  </si>
  <si>
    <t>Villuparam Junction - Tiruchchirappalli Junction</t>
  </si>
  <si>
    <t>India, Vindhyachal</t>
  </si>
  <si>
    <t>Vindhyachal - Mughalsarai</t>
  </si>
  <si>
    <t>India, Viramgam</t>
  </si>
  <si>
    <t>Viramgam Junction - Bandra Terminus</t>
  </si>
  <si>
    <t>Viramgam Junction - Kalyan Jn</t>
  </si>
  <si>
    <t>Viramgam - Kalyan</t>
  </si>
  <si>
    <t>Viramgam - Maharashtra</t>
  </si>
  <si>
    <t>Viramgam Junction - Mumbai Central</t>
  </si>
  <si>
    <t>Viramgam Junction - Mumbai Dadar</t>
  </si>
  <si>
    <t>Viramgam - Mumbai</t>
  </si>
  <si>
    <t>Viramgam - Navi Mumbai</t>
  </si>
  <si>
    <t>Viramgam Junction - Panvel</t>
  </si>
  <si>
    <t>Viramgam - Panvel</t>
  </si>
  <si>
    <t>Virudunagar Junction - Mayiladuturai Jn</t>
  </si>
  <si>
    <t>Virudhunagar - Mayiladuthurai</t>
  </si>
  <si>
    <t>India, Thiruchendur</t>
  </si>
  <si>
    <t>Virudhunagar - Thiruchendur</t>
  </si>
  <si>
    <t>Virudunagar Junction - Tiruchendur</t>
  </si>
  <si>
    <t>Visakhapatnam - Agra</t>
  </si>
  <si>
    <t>Visakhapatnam - Agra Cantt</t>
  </si>
  <si>
    <t>Visakhapatnam - Amadalavalasa</t>
  </si>
  <si>
    <t>Visakhapatnam - Akividu</t>
  </si>
  <si>
    <t>Visakhapatnam - Assam</t>
  </si>
  <si>
    <t>Visakhapatnam - Balasore</t>
  </si>
  <si>
    <t>Visakhapatnam - Gopalpur Odisha</t>
  </si>
  <si>
    <t>Visakhapatnam - Katpadi</t>
  </si>
  <si>
    <t>Visakhapatnam - Katpadi Junction</t>
  </si>
  <si>
    <t>Visakhapatnam - Margao</t>
  </si>
  <si>
    <t>Visakhapatnam - Mughalsarai</t>
  </si>
  <si>
    <t>Visakhapatnam - Parvatipuram</t>
  </si>
  <si>
    <t>Visakhapatnam - Taj Mahal</t>
  </si>
  <si>
    <t>Visakhapatnam - Mughal Sarai Junction</t>
  </si>
  <si>
    <t>Visakhapatnam - Vellore</t>
  </si>
  <si>
    <t>Vizianagram Junction - Puri</t>
  </si>
  <si>
    <t>Vizianagram - Puri</t>
  </si>
  <si>
    <t>Vizianagram Junction - Tirupati</t>
  </si>
  <si>
    <t>Vriddhachalam Junction - Coimbatore</t>
  </si>
  <si>
    <t>Vridhachalam - Tamil Nadu</t>
  </si>
  <si>
    <t>Vrindavan - Ballabgarh</t>
  </si>
  <si>
    <t>Vrindavan - Bharatpur Rajasthan</t>
  </si>
  <si>
    <t>Vrindavan - Gorakhpur</t>
  </si>
  <si>
    <t>Vrindavan - Habibganj</t>
  </si>
  <si>
    <t>Vrindavan - Navi Mumbai</t>
  </si>
  <si>
    <t>Vrindavan - Prayagraj</t>
  </si>
  <si>
    <t>Vrindavan - Puri</t>
  </si>
  <si>
    <t>Vrindavan - Siwan</t>
  </si>
  <si>
    <t>Vyara - Vapi</t>
  </si>
  <si>
    <t>Kazipet Junction - Ksr Bangalore</t>
  </si>
  <si>
    <t>Warangal - Perambur</t>
  </si>
  <si>
    <t>Warangal - Jaipur</t>
  </si>
  <si>
    <t>Warangal - Khammam</t>
  </si>
  <si>
    <t>Warangal - Kolkata</t>
  </si>
  <si>
    <t>Warangal - Shalimar</t>
  </si>
  <si>
    <t>Warangal - Kollam</t>
  </si>
  <si>
    <t>India, Kothagudem</t>
  </si>
  <si>
    <t>Warangal - Kothagudem</t>
  </si>
  <si>
    <t>Warangal - Palakollu</t>
  </si>
  <si>
    <t>Warangal - Rajahmundry</t>
  </si>
  <si>
    <t>Warangal - Rajasthan</t>
  </si>
  <si>
    <t>Warangal - Salem</t>
  </si>
  <si>
    <t>Warangal - Salem Junction</t>
  </si>
  <si>
    <t>Warangal - Samalkot</t>
  </si>
  <si>
    <t>Warangal - Samalkot Junction</t>
  </si>
  <si>
    <t>Warangal - Sainagar Shirdi</t>
  </si>
  <si>
    <t>Warangal - Shirdi</t>
  </si>
  <si>
    <t>Warangal - Bhadrachalam Road</t>
  </si>
  <si>
    <t>Warangal - West Bengal</t>
  </si>
  <si>
    <t>Wardha Junction - Balharshah</t>
  </si>
  <si>
    <t>Wardha - Ballarpur</t>
  </si>
  <si>
    <t>Wardha Junction - Raipur Jn</t>
  </si>
  <si>
    <t>Wardha - Chhattisgarh</t>
  </si>
  <si>
    <t>Wardha Junction - Gondia Junction</t>
  </si>
  <si>
    <t>Wardha - Gondia</t>
  </si>
  <si>
    <t>Wardha Junction - Manmad Junction</t>
  </si>
  <si>
    <t>Wardha - Manmad</t>
  </si>
  <si>
    <t>Wardha Junction - Puri</t>
  </si>
  <si>
    <t>Wardha - Puri</t>
  </si>
  <si>
    <t>Wardha - Raipur</t>
  </si>
  <si>
    <t>Wardha - Sevagram</t>
  </si>
  <si>
    <t>Wardha Junction - Vadodara</t>
  </si>
  <si>
    <t>Wardha - Vadodara</t>
  </si>
  <si>
    <t>India, Washim</t>
  </si>
  <si>
    <t>Washim - Tirupati</t>
  </si>
  <si>
    <t>India, Whitefield Bangalore</t>
  </si>
  <si>
    <t>Whitefield Bangalore - Bangalore</t>
  </si>
  <si>
    <t>Whitefield - Ksr Bangalore</t>
  </si>
  <si>
    <t>Whitefield Bangalore - Nagpur</t>
  </si>
  <si>
    <t>Whitefield - Nagpur</t>
  </si>
  <si>
    <t>Yelhanka - Bidar</t>
  </si>
  <si>
    <t>Yelhanka - Kalaburagi</t>
  </si>
  <si>
    <t>Indonesia, Bali</t>
  </si>
  <si>
    <t>Amed Transfer - Candidasa Transfer</t>
  </si>
  <si>
    <t>charter | SUV 4pax</t>
  </si>
  <si>
    <t>Amed Transfer - Padang Bai Port</t>
  </si>
  <si>
    <t>Benoa Square Jimbaran - Padang Bai Central Parking</t>
  </si>
  <si>
    <t>van | Shuttle</t>
  </si>
  <si>
    <t>Candidasa Transfer - Amed Transfer</t>
  </si>
  <si>
    <t>Candidasa Transfer - Canggu Transfer</t>
  </si>
  <si>
    <t>Candidasa Transfer - Jimbaran Transfer</t>
  </si>
  <si>
    <t>Candidasa Transfer - Nusa Dua Transfer</t>
  </si>
  <si>
    <t>Candidasa Transfer - Padang Bai Port</t>
  </si>
  <si>
    <t>Candidasa Transfer - Pecatu Transfer</t>
  </si>
  <si>
    <t>Candidasa Transfer - Tulamben Transfer</t>
  </si>
  <si>
    <t>Candidasa Transfer - Uluwatu Transfer</t>
  </si>
  <si>
    <t>Canggu Transfer - Candidasa Transfer</t>
  </si>
  <si>
    <t>Canggu Transfer - Padang Bai Port</t>
  </si>
  <si>
    <t>Central Parking Kuta - Padang Bai Central Parking</t>
  </si>
  <si>
    <t>Dunkin Donuts Sanur - Padang Bai Central Parking</t>
  </si>
  <si>
    <t>Gilimanuk Port - Uluwatu Transfer</t>
  </si>
  <si>
    <t>Gilimanuk Transfer - Uluwatu Transfer</t>
  </si>
  <si>
    <t>Jimbaran Transfer - Candidasa Transfer</t>
  </si>
  <si>
    <t>Jimbaran Transfer - Padang Bai Port</t>
  </si>
  <si>
    <t>Lovina - Padang Bai Transfer</t>
  </si>
  <si>
    <t>Lovina - Uluwatu Transfer</t>
  </si>
  <si>
    <t>Nusa Dua Transfer - Candidasa Transfer</t>
  </si>
  <si>
    <t>Nusa Dua Transfer - Padang Bai Port</t>
  </si>
  <si>
    <t>Nusa Dua Transfer - Uluwatu Transfer</t>
  </si>
  <si>
    <t>Padang Bai Central Parking - Benoa Square Jimbaran</t>
  </si>
  <si>
    <t>Padang Bai Central Parking - Central Parking Kuta</t>
  </si>
  <si>
    <t>Padang Bai Central Parking - Dunkin Donuts Sanur</t>
  </si>
  <si>
    <t>Padang Bai Central Parking - Sunset Point Shopping Center Seminyak</t>
  </si>
  <si>
    <t>Padang Bai Port - Amed Transfer</t>
  </si>
  <si>
    <t>Padang Bai Port - Candidasa Transfer</t>
  </si>
  <si>
    <t>Padang Bai Port - Canggu Transfer</t>
  </si>
  <si>
    <t>Padang Bai Port - Jimbaran Transfer</t>
  </si>
  <si>
    <t>Padang Bai Port - Nusa Dua Transfer</t>
  </si>
  <si>
    <t>Padang Bai Port - Pecatu Transfer</t>
  </si>
  <si>
    <t>Padang Bai Port - Tulamben Transfer</t>
  </si>
  <si>
    <t>Padang Bai Port - Uluwatu Transfer</t>
  </si>
  <si>
    <t>Padma Resort Ubud Transfer - Nusa Dua Transfer</t>
  </si>
  <si>
    <t>Pecatu Transfer - Candidasa Transfer</t>
  </si>
  <si>
    <t>Pecatu Transfer - Padang Bai Port</t>
  </si>
  <si>
    <t>Sunset Point Shopping Center Seminyak - Padang Bai Central Parking</t>
  </si>
  <si>
    <t>Tulamben Transfer - Candidasa Transfer</t>
  </si>
  <si>
    <t>Tulamben Transfer - Padang Bai Port</t>
  </si>
  <si>
    <t>Uluwatu Transfer - Candidasa Transfer</t>
  </si>
  <si>
    <t>Uluwatu Transfer - Padang Bai Port</t>
  </si>
  <si>
    <t>Indonesia, Canggu</t>
  </si>
  <si>
    <t>Padang Bai Central Parking - Popular Market Deli Canggu</t>
  </si>
  <si>
    <t>Indonesia, Gili Islands</t>
  </si>
  <si>
    <t>Denpasar Airport - Gili Air</t>
  </si>
  <si>
    <t>ferry | High Speed Ferry</t>
  </si>
  <si>
    <t>Denpasar Transfer - Gili Air</t>
  </si>
  <si>
    <t>Jimbaran Transfer - Gili Air</t>
  </si>
  <si>
    <t>Kerobokan Transfer - Gili Air</t>
  </si>
  <si>
    <t>Kuta Transfer - Gili Air</t>
  </si>
  <si>
    <t>Legian Transfer - Gili Air</t>
  </si>
  <si>
    <t>Nusa Dua Transfer - Gili Air</t>
  </si>
  <si>
    <t>Padang Bai Pier - Gili Meno</t>
  </si>
  <si>
    <t>ferry | Speedboat</t>
  </si>
  <si>
    <t>Seminyak Transfer - Gili Air</t>
  </si>
  <si>
    <t>Tanjung Benoa Transfer - Gili Air</t>
  </si>
  <si>
    <t>Umalas Transfer - Gili Air</t>
  </si>
  <si>
    <t>Indonesia, Gili Trawangan</t>
  </si>
  <si>
    <t>Denpasar Airport - Gili Trawangan Gili Getaway</t>
  </si>
  <si>
    <t>Denpasar Transfer - Gili Trawangan Gili Getaway</t>
  </si>
  <si>
    <t>Jimbaran Transfer - Gili Trawangan Gili Getaway</t>
  </si>
  <si>
    <t>Kerobokan Transfer - Gili Trawangan Gili Getaway</t>
  </si>
  <si>
    <t>Kuta Transfer - Gili Trawangan Gili Getaway</t>
  </si>
  <si>
    <t>Legian Transfer - Gili Trawangan Gili Getaway</t>
  </si>
  <si>
    <t>Nusa Dua Transfer - Gili Trawangan Gili Getaway</t>
  </si>
  <si>
    <t>Seminyak Transfer - Gili Trawangan Gili Getaway</t>
  </si>
  <si>
    <t>Tanjung Benoa Transfer - Gili Trawangan Gili Getaway</t>
  </si>
  <si>
    <t>Umalas Transfer - Gili Trawangan Gili Getaway</t>
  </si>
  <si>
    <t>Indonesia, Kintamani</t>
  </si>
  <si>
    <t>Candidasa Transfer - Kintamani Transfer</t>
  </si>
  <si>
    <t>Lovina - Kintamani Transfer</t>
  </si>
  <si>
    <t>Padang Bai Port - Kintamani Transfer</t>
  </si>
  <si>
    <t>Indonesia, Lombok</t>
  </si>
  <si>
    <t>Denpasar Airport - Bangsal Pier</t>
  </si>
  <si>
    <t>Denpasar Airport - Gili Gede</t>
  </si>
  <si>
    <t>Denpasar Transfer - Bangsal Pier</t>
  </si>
  <si>
    <t>Denpasar Transfer - Gili Gede</t>
  </si>
  <si>
    <t>Jimbaran Transfer - Bangsal Pier</t>
  </si>
  <si>
    <t>Jimbaran Transfer - Gili Gede</t>
  </si>
  <si>
    <t>Kerobokan Transfer - Bangsal Pier</t>
  </si>
  <si>
    <t>Kerobokan Transfer - Gili Gede</t>
  </si>
  <si>
    <t>Kuta Transfer - Bangsal Pier</t>
  </si>
  <si>
    <t>Kuta Transfer - Gili Gede</t>
  </si>
  <si>
    <t>Legian Transfer - Bangsal Pier</t>
  </si>
  <si>
    <t>Legian Transfer - Gili Gede</t>
  </si>
  <si>
    <t>Nusa Dua Transfer - Bangsal Pier</t>
  </si>
  <si>
    <t>Nusa Dua Transfer - Gili Gede</t>
  </si>
  <si>
    <t>Seminyak Transfer - Bangsal Pier</t>
  </si>
  <si>
    <t>Seminyak Transfer - Gili Gede</t>
  </si>
  <si>
    <t>Tanjung Benoa Transfer - Bangsal Pier</t>
  </si>
  <si>
    <t>Tanjung Benoa Transfer - Gili Gede</t>
  </si>
  <si>
    <t>Umalas Transfer - Bangsal Pier</t>
  </si>
  <si>
    <t>Umalas Transfer - Gili Gede</t>
  </si>
  <si>
    <t>Indonesia, Nusa Penida</t>
  </si>
  <si>
    <t>Denpasar Airport - Buyuk Harbor</t>
  </si>
  <si>
    <t>Denpasar Transfer - Buyuk Harbor</t>
  </si>
  <si>
    <t>Jimbaran Transfer - Buyuk Harbor</t>
  </si>
  <si>
    <t>Kerobokan Transfer - Buyuk Harbor</t>
  </si>
  <si>
    <t>Kuta Transfer - Buyuk Harbor</t>
  </si>
  <si>
    <t>Legian Transfer - Buyuk Harbor</t>
  </si>
  <si>
    <t>Nusa Dua Transfer - Buyuk Harbor</t>
  </si>
  <si>
    <t>Seminyak Transfer - Buyuk Harbor</t>
  </si>
  <si>
    <t>Serangan Pier Gili Getaway - Buyuk Harbor</t>
  </si>
  <si>
    <t>Tanjung Benoa Transfer - Buyuk Harbor</t>
  </si>
  <si>
    <t>Umalas Transfer - Buyuk Harbor</t>
  </si>
  <si>
    <t>Indonesia, Sanur</t>
  </si>
  <si>
    <t>Amed Transfer - Sanur Transfer</t>
  </si>
  <si>
    <t>Bangsal Harbour - Sanur Wijaya Buyuk</t>
  </si>
  <si>
    <t>ferry | Fast Boat</t>
  </si>
  <si>
    <t>Candidasa Transfer - Sanur Transfer</t>
  </si>
  <si>
    <t>Canggu Transfer - Sanur Transfer</t>
  </si>
  <si>
    <t>Jimbaran Transfer - Sanur Transfer</t>
  </si>
  <si>
    <t>Kuta Transfer - Sanur Transfer</t>
  </si>
  <si>
    <t>Lovina - Sanur Transfer</t>
  </si>
  <si>
    <t>Nusa Dua Transfer - Sanur Transfer</t>
  </si>
  <si>
    <t>Padang Bai Port - Sanur Transfer</t>
  </si>
  <si>
    <t>Pecatu Transfer - Sanur Transfer</t>
  </si>
  <si>
    <t>Pemuteran Transfer - Sanur Transfer</t>
  </si>
  <si>
    <t>Seminyak Transfer - Sanur Transfer</t>
  </si>
  <si>
    <t>Tulamben Transfer - Sanur Transfer</t>
  </si>
  <si>
    <t>Uluwatu Transfer - Sanur Transfer</t>
  </si>
  <si>
    <t>Indonesia, Ubud</t>
  </si>
  <si>
    <t>Canggu Transfer - Ubud Transfer</t>
  </si>
  <si>
    <t>Jimbaran Transfer - Ubud Transfer</t>
  </si>
  <si>
    <t>Kuta Transfer - Ubud Transfer</t>
  </si>
  <si>
    <t>Lebih Transfer - Ubud Transfer</t>
  </si>
  <si>
    <t>Lodtunduh Transfer - Ubud Transfer</t>
  </si>
  <si>
    <t>Lovina - Ubud Transfer</t>
  </si>
  <si>
    <t>Nusa Dua Transfer - Ubud Transfer</t>
  </si>
  <si>
    <t>Padang Bai Central Parking - Coco Supermarket Ubud</t>
  </si>
  <si>
    <t>Payangan Transfer - Ubud Transfer</t>
  </si>
  <si>
    <t>Pecatu Transfer - Ubud Transfer</t>
  </si>
  <si>
    <t>Pemuteran Transfer - Ubud Transfer</t>
  </si>
  <si>
    <t>Seminyak Transfer - Ubud Transfer</t>
  </si>
  <si>
    <t>Sukawati Transfer - Ubud Transfer</t>
  </si>
  <si>
    <t>Tampaksiring Transfer - Ubud Transfer</t>
  </si>
  <si>
    <t>Taro Transfer - Ubud Transfer</t>
  </si>
  <si>
    <t>Tegalalang Transfer - Ubud Transfer</t>
  </si>
  <si>
    <t>Tulamben Transfer - Ubud Transfer</t>
  </si>
  <si>
    <t>Uluwatu Transfer - Ubud Transfer</t>
  </si>
  <si>
    <t>Indonesia, Banyuwangi</t>
  </si>
  <si>
    <t>Indonesia, Denpasar</t>
  </si>
  <si>
    <t>Pelabuhan Ketapang - Kantor Wisata Komodo</t>
  </si>
  <si>
    <t>bus | Executive</t>
  </si>
  <si>
    <t>Indonesia, Gilimanuk</t>
  </si>
  <si>
    <t>Pelabuhan Ketapang - Kantor Wisata Komodo Gilimanuk</t>
  </si>
  <si>
    <t>Indonesia, Kebumen</t>
  </si>
  <si>
    <t>Pelabuhan Ketapang - Terminal Bus Kebumen</t>
  </si>
  <si>
    <t>Indonesia, Mengwi</t>
  </si>
  <si>
    <t>Pelabuhan Ketapang - Kapal</t>
  </si>
  <si>
    <t>Pelabuhan Ketapang - Terminal Mengwi</t>
  </si>
  <si>
    <t>Indonesia, Negara</t>
  </si>
  <si>
    <t>Pelabuhan Ketapang - Alun Alun Kota Negara</t>
  </si>
  <si>
    <t>Pelabuhan Ketapang - Terminal Baru Negara</t>
  </si>
  <si>
    <t>Indonesia, Purwokerto</t>
  </si>
  <si>
    <t>Pelabuhan Ketapang - Terminal Purwokerto</t>
  </si>
  <si>
    <t>Indonesia, Surabaya</t>
  </si>
  <si>
    <t>Pelabuhan Ketapang - Terminal Purabaya Bungurasih</t>
  </si>
  <si>
    <t>Indonesia, Surakarta</t>
  </si>
  <si>
    <t>Pelabuhan Ketapang - Terminal Tirtonadi</t>
  </si>
  <si>
    <t>Indonesia, Tabanan</t>
  </si>
  <si>
    <t>Pelabuhan Ketapang - Terminal Pesiapan</t>
  </si>
  <si>
    <t>Indonesia, Yogyakarta</t>
  </si>
  <si>
    <t>Pelabuhan Ketapang - Terminal Giwangan Yogyakarta</t>
  </si>
  <si>
    <t>Pelabuhan Ketapang - Wisata Komodo Janti</t>
  </si>
  <si>
    <t>Indonesia, Bekasi</t>
  </si>
  <si>
    <t>Indonesia, Ambon</t>
  </si>
  <si>
    <t>Bekasi - Ambon</t>
  </si>
  <si>
    <t>Indonesia, Bangka Belitung Islands</t>
  </si>
  <si>
    <t>Bekasi - Bangka Belitung Islands</t>
  </si>
  <si>
    <t>Indonesia, Berau</t>
  </si>
  <si>
    <t>Bekasi - Berau</t>
  </si>
  <si>
    <t>Indonesia, Bitung</t>
  </si>
  <si>
    <t>Bekasi - Bitung</t>
  </si>
  <si>
    <t>Indonesia, Bunaken</t>
  </si>
  <si>
    <t>Bekasi - Bunaken</t>
  </si>
  <si>
    <t>Indonesia, Central Sulawesi</t>
  </si>
  <si>
    <t>Bekasi - Central Sulawesi</t>
  </si>
  <si>
    <t>Indonesia, Gorontalo</t>
  </si>
  <si>
    <t>Bekasi - Gorontalo</t>
  </si>
  <si>
    <t>Indonesia, Java</t>
  </si>
  <si>
    <t>Bekasi - Java</t>
  </si>
  <si>
    <t>Indonesia, Kendari</t>
  </si>
  <si>
    <t>Bekasi - Kendari</t>
  </si>
  <si>
    <t>Indonesia, Kulon Progo</t>
  </si>
  <si>
    <t>Bekasi - Kulon Progo</t>
  </si>
  <si>
    <t>Indonesia, Kupang</t>
  </si>
  <si>
    <t>Bekasi - Kupang</t>
  </si>
  <si>
    <t>Indonesia, Martapura</t>
  </si>
  <si>
    <t>Bekasi - Martapura</t>
  </si>
  <si>
    <t>Indonesia, North Sulawesi</t>
  </si>
  <si>
    <t>Bekasi - North Sulawesi</t>
  </si>
  <si>
    <t>Indonesia, Palangkaraya</t>
  </si>
  <si>
    <t>Bekasi - Palangkaraya</t>
  </si>
  <si>
    <t>Indonesia, Papua</t>
  </si>
  <si>
    <t>Bekasi - Papua</t>
  </si>
  <si>
    <t>Indonesia, Praya</t>
  </si>
  <si>
    <t>Bekasi - Praya</t>
  </si>
  <si>
    <t>Indonesia, Sorong</t>
  </si>
  <si>
    <t>Bekasi - Sorong</t>
  </si>
  <si>
    <t>Indonesia, South East Sulawesi</t>
  </si>
  <si>
    <t>Bekasi - South East Sulawesi</t>
  </si>
  <si>
    <t>Indonesia, South Kalimantan</t>
  </si>
  <si>
    <t>Bekasi - South Kalimantan</t>
  </si>
  <si>
    <t>Indonesia, Tanjungpandan</t>
  </si>
  <si>
    <t>Bekasi - Tanjungpandan</t>
  </si>
  <si>
    <t>Indonesia, Tarakan</t>
  </si>
  <si>
    <t>Bekasi - Tarakan</t>
  </si>
  <si>
    <t>Indonesia, Ternate</t>
  </si>
  <si>
    <t>Bekasi - Ternate</t>
  </si>
  <si>
    <t>Indonesia, Tidore</t>
  </si>
  <si>
    <t>Bekasi - Tidore</t>
  </si>
  <si>
    <t>Indonesia, Ujungpandang</t>
  </si>
  <si>
    <t>Bekasi - Ujungpandang</t>
  </si>
  <si>
    <t>Indonesia, West Papua</t>
  </si>
  <si>
    <t>Bekasi - West Papua</t>
  </si>
  <si>
    <t>Indonesia, Yogyakarta Airport</t>
  </si>
  <si>
    <t>Bekasi - Yogyakarta Airport</t>
  </si>
  <si>
    <t>Malaysia, George Town</t>
  </si>
  <si>
    <t>Bekasi - George Town</t>
  </si>
  <si>
    <t>Malaysia, Penang</t>
  </si>
  <si>
    <t>Bekasi - Penang</t>
  </si>
  <si>
    <t>Malaysia, Penang Airport</t>
  </si>
  <si>
    <t>Bekasi - Penang Airport</t>
  </si>
  <si>
    <t>Bekasi - Bangkok Airport</t>
  </si>
  <si>
    <t>Bekasi - Don Mueang Airport</t>
  </si>
  <si>
    <t>Bekasi - Rangsit</t>
  </si>
  <si>
    <t>Indonesia, Bima</t>
  </si>
  <si>
    <t>Indonesia, I Gusti Ngurah Rai International Airport</t>
  </si>
  <si>
    <t>Bima - I Gusti Ngurah Rai International Airport</t>
  </si>
  <si>
    <t>Indonesia, Bungurasih</t>
  </si>
  <si>
    <t>Bungurasih - Denpasar</t>
  </si>
  <si>
    <t>Bungurasih - Lombok</t>
  </si>
  <si>
    <t>Popular Market Deli Canggu - Padang Bai Central Parking</t>
  </si>
  <si>
    <t>Happy Chappy Restaurant - Gili Air</t>
  </si>
  <si>
    <t>Happy Chappy Restaurant - Gili Trawangan Gili Getaway</t>
  </si>
  <si>
    <t>Happy Chappy Restaurant - Bangsal Pier</t>
  </si>
  <si>
    <t>Happy Chappy Restaurant - Gili Gede</t>
  </si>
  <si>
    <t>Happy Chappy Restaurant - Buyuk Harbor</t>
  </si>
  <si>
    <t>Indonesia, Jakarta Airport</t>
  </si>
  <si>
    <t>Central Sulawesi - Jakarta Airport</t>
  </si>
  <si>
    <t>Indonesia, Delanggu</t>
  </si>
  <si>
    <t>Delanggu - Jakarta Airport</t>
  </si>
  <si>
    <t>Denpasar - Canterbury Nsw</t>
  </si>
  <si>
    <t>Denpasar - Ipswich City</t>
  </si>
  <si>
    <t>Australia, Moreton Bay</t>
  </si>
  <si>
    <t>Denpasar - Moreton Bay</t>
  </si>
  <si>
    <t>Australia, North Stradbroke Island</t>
  </si>
  <si>
    <t>Denpasar - North Stradbroke Island</t>
  </si>
  <si>
    <t>Australia, Royal National Park</t>
  </si>
  <si>
    <t>Denpasar - Royal National Park</t>
  </si>
  <si>
    <t>Australia, Victoria</t>
  </si>
  <si>
    <t>Denpasar - Victoria</t>
  </si>
  <si>
    <t>Denpasar - Bungurasih</t>
  </si>
  <si>
    <t>Kantor Wisata Komodo - Terminal Bus Kebumen</t>
  </si>
  <si>
    <t>Denpasar - Martapura</t>
  </si>
  <si>
    <t>Kantor Wisata Komodo - Terminal Purwokerto</t>
  </si>
  <si>
    <t>Indonesia, Raba</t>
  </si>
  <si>
    <t>Denpasar - Raba</t>
  </si>
  <si>
    <t>Indonesia, Ruteng</t>
  </si>
  <si>
    <t>Denpasar - Ruteng</t>
  </si>
  <si>
    <t>Kantor Wisata Komodo - Terminal Purabaya Bungurasih</t>
  </si>
  <si>
    <t>Kantor Wisata Komodo - Terminal Tirtonadi</t>
  </si>
  <si>
    <t>Kantor Wisata Komodo - Terminal Giwangan Yogyakarta</t>
  </si>
  <si>
    <t>Kantor Wisata Komodo - Wisata Komodo Janti</t>
  </si>
  <si>
    <t>Denpasar - Bandar Sunway</t>
  </si>
  <si>
    <t>Denpasar - Klang</t>
  </si>
  <si>
    <t>Malaysia, KLIA II</t>
  </si>
  <si>
    <t>Denpasar - Klia Ii</t>
  </si>
  <si>
    <t>Denpasar - Kuala Lumpur Sentral</t>
  </si>
  <si>
    <t>Denpasar - Putrajaya</t>
  </si>
  <si>
    <t>Denpasar - Seremban</t>
  </si>
  <si>
    <t>Denpasar - Rangsit</t>
  </si>
  <si>
    <t>Indonesia, Gili Air</t>
  </si>
  <si>
    <t>Gili Air Karya Bahari - Gili Meno</t>
  </si>
  <si>
    <t>ferry | Standard Class</t>
  </si>
  <si>
    <t>Gili Air Karya Bahari - Gili Trawangan Port</t>
  </si>
  <si>
    <t>Gili Air Karya Bahari - Bangsal Pier</t>
  </si>
  <si>
    <t>Gili Air - Denpasar Airport</t>
  </si>
  <si>
    <t>Gili Air - Denpasar Transfer</t>
  </si>
  <si>
    <t>Gili Air - Jimbaran Transfer</t>
  </si>
  <si>
    <t>Gili Air - Kerobokan Transfer</t>
  </si>
  <si>
    <t>Gili Air - Kuta Transfer</t>
  </si>
  <si>
    <t>Gili Air - Legian Transfer</t>
  </si>
  <si>
    <t>Gili Air - Nusa Dua Transfer</t>
  </si>
  <si>
    <t>Gili Air - Seminyak Transfer</t>
  </si>
  <si>
    <t>Gili Air - Serangan Pier Gili Getaway</t>
  </si>
  <si>
    <t>Gili Air - Tanjung Benoa Transfer</t>
  </si>
  <si>
    <t>Gili Air - Umalas Transfer</t>
  </si>
  <si>
    <t>Gili Air - Happy Chappy Restaurant</t>
  </si>
  <si>
    <t>Gili Meno - Gili Air Karya Bahari</t>
  </si>
  <si>
    <t>Gili Trawangan Port - Gili Air Karya Bahari</t>
  </si>
  <si>
    <t>Gili Meno - Gili Trawangan Port</t>
  </si>
  <si>
    <t>Gili Trawangan Port - Gili Meno</t>
  </si>
  <si>
    <t>Gili Meno - Bangsal Pier</t>
  </si>
  <si>
    <t>Gili Trawangan Port - Bangsal Pier</t>
  </si>
  <si>
    <t>Gili Air - Sanur Transfer</t>
  </si>
  <si>
    <t>Gili Air - Sanur Wijaya Buyuk</t>
  </si>
  <si>
    <t>Gili Trawangan Beach - Padang Bai Pier</t>
  </si>
  <si>
    <t>Gili Trawangan Gili Getaway - Denpasar Airport</t>
  </si>
  <si>
    <t>Gili Trawangan Gili Getaway - Denpasar Transfer</t>
  </si>
  <si>
    <t>Gili Trawangan Gili Getaway - Jimbaran Transfer</t>
  </si>
  <si>
    <t>Gili Trawangan Gili Getaway - Kerobokan Transfer</t>
  </si>
  <si>
    <t>Gili Trawangan Gili Getaway - Kuta Transfer</t>
  </si>
  <si>
    <t>Gili Trawangan Gili Getaway - Legian Transfer</t>
  </si>
  <si>
    <t>Gili Trawangan Gili Getaway - Nusa Dua Transfer</t>
  </si>
  <si>
    <t>Gili Trawangan Gili Getaway - Seminyak Transfer</t>
  </si>
  <si>
    <t>Gili Trawangan Gili Getaway - Serangan Pier Gili Getaway</t>
  </si>
  <si>
    <t>Gili Trawangan Gili Getaway - Tanjung Benoa Transfer</t>
  </si>
  <si>
    <t>Gili Trawangan Gili Getaway - Umalas Transfer</t>
  </si>
  <si>
    <t>Gili Trawangan Gili Getaway - Happy Chappy Restaurant</t>
  </si>
  <si>
    <t>Gili Trawangan Gili Getaway - Sanur Transfer</t>
  </si>
  <si>
    <t>Gili Trawangan Wijaya Buyuk - Sanur Wijaya Buyuk</t>
  </si>
  <si>
    <t>Kantor Wisata Komodo Gilimanuk - Terminal Bus Kebumen</t>
  </si>
  <si>
    <t>Kantor Wisata Komodo Gilimanuk - Terminal Purwokerto</t>
  </si>
  <si>
    <t>Kantor Wisata Komodo Gilimanuk - Terminal Purabaya Bungurasih</t>
  </si>
  <si>
    <t>Kantor Wisata Komodo Gilimanuk - Terminal Tirtonadi</t>
  </si>
  <si>
    <t>Kantor Wisata Komodo Gilimanuk - Terminal Giwangan Yogyakarta</t>
  </si>
  <si>
    <t>Kantor Wisata Komodo Gilimanuk - Wisata Komodo Janti</t>
  </si>
  <si>
    <t>Indonesia, Giwangan</t>
  </si>
  <si>
    <t>Indonesia, Tangerang</t>
  </si>
  <si>
    <t>Giwangan - Tangerang</t>
  </si>
  <si>
    <t>I Gusti Ngurah Rai International Airport - Brisbane</t>
  </si>
  <si>
    <t>I Gusti Ngurah Rai International Airport - Brisbane Airport</t>
  </si>
  <si>
    <t>I Gusti Ngurah Rai International Airport - Canterbury Nsw</t>
  </si>
  <si>
    <t>I Gusti Ngurah Rai International Airport - Ipswich City</t>
  </si>
  <si>
    <t>I Gusti Ngurah Rai International Airport - Melbourne</t>
  </si>
  <si>
    <t>Australia, Melbourne Airport</t>
  </si>
  <si>
    <t>I Gusti Ngurah Rai International Airport - Melbourne Airport</t>
  </si>
  <si>
    <t>I Gusti Ngurah Rai International Airport - Moreton Bay</t>
  </si>
  <si>
    <t>I Gusti Ngurah Rai International Airport - North Stradbroke Island</t>
  </si>
  <si>
    <t>Australia, Perth</t>
  </si>
  <si>
    <t>I Gusti Ngurah Rai International Airport - Perth</t>
  </si>
  <si>
    <t>I Gusti Ngurah Rai International Airport - Royal National Park</t>
  </si>
  <si>
    <t>I Gusti Ngurah Rai International Airport - Sydney</t>
  </si>
  <si>
    <t>I Gusti Ngurah Rai International Airport - Sydney Airport</t>
  </si>
  <si>
    <t>I Gusti Ngurah Rai International Airport - Victoria</t>
  </si>
  <si>
    <t>Indonesia, Bandjarmasin</t>
  </si>
  <si>
    <t>I Gusti Ngurah Rai International Airport - Bandjarmasin</t>
  </si>
  <si>
    <t>I Gusti Ngurah Rai International Airport - Bekasi</t>
  </si>
  <si>
    <t>I Gusti Ngurah Rai International Airport - Bima</t>
  </si>
  <si>
    <t>Indonesia, Central Java</t>
  </si>
  <si>
    <t>I Gusti Ngurah Rai International Airport - Central Java</t>
  </si>
  <si>
    <t>Indonesia, East Nusa Tenggara</t>
  </si>
  <si>
    <t>I Gusti Ngurah Rai International Airport - East Nusa Tenggara</t>
  </si>
  <si>
    <t>I Gusti Ngurah Rai International Airport - Jakarta Airport</t>
  </si>
  <si>
    <t>I Gusti Ngurah Rai International Airport - Java</t>
  </si>
  <si>
    <t>Indonesia, Komodo</t>
  </si>
  <si>
    <t>I Gusti Ngurah Rai International Airport - Komodo</t>
  </si>
  <si>
    <t>Indonesia, Komodo Airport</t>
  </si>
  <si>
    <t>I Gusti Ngurah Rai International Airport - Komodo Airport</t>
  </si>
  <si>
    <t>I Gusti Ngurah Rai International Airport - Kupang</t>
  </si>
  <si>
    <t>Indonesia, Makassar</t>
  </si>
  <si>
    <t>I Gusti Ngurah Rai International Airport - Makassar</t>
  </si>
  <si>
    <t>I Gusti Ngurah Rai International Airport - Martapura</t>
  </si>
  <si>
    <t>Indonesia, Pasuruan</t>
  </si>
  <si>
    <t>I Gusti Ngurah Rai International Airport - Pasuruan</t>
  </si>
  <si>
    <t>I Gusti Ngurah Rai International Airport - Raba</t>
  </si>
  <si>
    <t>Indonesia, Rinca</t>
  </si>
  <si>
    <t>I Gusti Ngurah Rai International Airport - Rinca</t>
  </si>
  <si>
    <t>I Gusti Ngurah Rai International Airport - Ruteng</t>
  </si>
  <si>
    <t>Indonesia, Semarang</t>
  </si>
  <si>
    <t>I Gusti Ngurah Rai International Airport - Semarang</t>
  </si>
  <si>
    <t>I Gusti Ngurah Rai International Airport - South Kalimantan</t>
  </si>
  <si>
    <t>Indonesia, South Sulawesi</t>
  </si>
  <si>
    <t>I Gusti Ngurah Rai International Airport - South Sulawesi</t>
  </si>
  <si>
    <t>I Gusti Ngurah Rai International Airport - Surabaya</t>
  </si>
  <si>
    <t>I Gusti Ngurah Rai International Airport - Tangerang</t>
  </si>
  <si>
    <t>I Gusti Ngurah Rai International Airport - Ujungpandang</t>
  </si>
  <si>
    <t>I Gusti Ngurah Rai International Airport - Yogyakarta Airport</t>
  </si>
  <si>
    <t>I Gusti Ngurah Rai International Airport - Bandar Sunway</t>
  </si>
  <si>
    <t>I Gusti Ngurah Rai International Airport - Klang</t>
  </si>
  <si>
    <t>Malaysia, KLIA</t>
  </si>
  <si>
    <t>I Gusti Ngurah Rai International Airport - Klia</t>
  </si>
  <si>
    <t>I Gusti Ngurah Rai International Airport - Klia Ii</t>
  </si>
  <si>
    <t>Malaysia, Kuala Lumpur Airport</t>
  </si>
  <si>
    <t>I Gusti Ngurah Rai International Airport - Kuala Lumpur Airport</t>
  </si>
  <si>
    <t>I Gusti Ngurah Rai International Airport - Kuala Lumpur Sentral</t>
  </si>
  <si>
    <t>I Gusti Ngurah Rai International Airport - Putrajaya</t>
  </si>
  <si>
    <t>I Gusti Ngurah Rai International Airport - Seremban</t>
  </si>
  <si>
    <t>I Gusti Ngurah Rai International Airport - Bangkok Airport</t>
  </si>
  <si>
    <t>I Gusti Ngurah Rai International Airport - Don Mueang Airport</t>
  </si>
  <si>
    <t>I Gusti Ngurah Rai International Airport - Rangsit</t>
  </si>
  <si>
    <t>Indonesia, Jakarta</t>
  </si>
  <si>
    <t>Jakarta - Delanggu</t>
  </si>
  <si>
    <t>Jakarta - Giwangan</t>
  </si>
  <si>
    <t>Jakarta - Mengwi</t>
  </si>
  <si>
    <t>Indonesia, Natar</t>
  </si>
  <si>
    <t>Jakarta - Natar</t>
  </si>
  <si>
    <t>Indonesia, Jatibening</t>
  </si>
  <si>
    <t>Indonesia, Malang</t>
  </si>
  <si>
    <t>Jatibening - Malang</t>
  </si>
  <si>
    <t>Jatibening - Surabaya</t>
  </si>
  <si>
    <t>Jatibening - Yogyakarta</t>
  </si>
  <si>
    <t>Terminal Bus Kebumen - Pelabuhan Ketapang</t>
  </si>
  <si>
    <t>Terminal Bus Kebumen - Kantor Wisata Komodo</t>
  </si>
  <si>
    <t>Terminal Bus Kebumen - Kantor Wisata Komodo Gilimanuk</t>
  </si>
  <si>
    <t>Terminal Bus Kebumen - Terminal Mengwi</t>
  </si>
  <si>
    <t>Terminal Bus Kebumen - Terminal Baru Negara</t>
  </si>
  <si>
    <t>Terminal Bus Kebumen - Terminal Pesiapan</t>
  </si>
  <si>
    <t>Kintamani Transfer - Candidasa Transfer</t>
  </si>
  <si>
    <t>Kintamani Transfer - Padang Bai Port</t>
  </si>
  <si>
    <t>Kintamani Transfer - Sanur Transfer</t>
  </si>
  <si>
    <t>Kintamani Transfer - Ubud Transfer</t>
  </si>
  <si>
    <t>Kulon Progo - Jakarta</t>
  </si>
  <si>
    <t>Bangsal Pier - Denpasar Airport</t>
  </si>
  <si>
    <t>Bangsal Pier - Denpasar Transfer</t>
  </si>
  <si>
    <t>Bangsal Pier - Jimbaran Transfer</t>
  </si>
  <si>
    <t>Bangsal Pier - Kerobokan Transfer</t>
  </si>
  <si>
    <t>Bangsal Pier - Kuta Transfer</t>
  </si>
  <si>
    <t>Bangsal Pier - Legian Transfer</t>
  </si>
  <si>
    <t>Bangsal Pier - Nusa Dua Transfer</t>
  </si>
  <si>
    <t>Bangsal Pier - Seminyak Transfer</t>
  </si>
  <si>
    <t>Bangsal Pier - Serangan Pier Gili Getaway</t>
  </si>
  <si>
    <t>Bangsal Pier - Tanjung Benoa Transfer</t>
  </si>
  <si>
    <t>Bangsal Pier - Umalas Transfer</t>
  </si>
  <si>
    <t>Gili Gede - Denpasar Airport</t>
  </si>
  <si>
    <t>Gili Gede - Denpasar Transfer</t>
  </si>
  <si>
    <t>Gili Gede - Jimbaran Transfer</t>
  </si>
  <si>
    <t>Gili Gede - Kerobokan Transfer</t>
  </si>
  <si>
    <t>Gili Gede - Kuta Transfer</t>
  </si>
  <si>
    <t>Gili Gede - Legian Transfer</t>
  </si>
  <si>
    <t>Gili Gede - Nusa Dua Transfer</t>
  </si>
  <si>
    <t>Gili Gede - Seminyak Transfer</t>
  </si>
  <si>
    <t>Gili Gede - Serangan Pier Gili Getaway</t>
  </si>
  <si>
    <t>Gili Gede - Tanjung Benoa Transfer</t>
  </si>
  <si>
    <t>Gili Gede - Umalas Transfer</t>
  </si>
  <si>
    <t>Senggigi Pier - Padang Bai Pier</t>
  </si>
  <si>
    <t>Bangsal Pier - Happy Chappy Restaurant</t>
  </si>
  <si>
    <t>Gili Gede - Happy Chappy Restaurant</t>
  </si>
  <si>
    <t>Bangsal Pier - Gili Air Karya Bahari</t>
  </si>
  <si>
    <t>Bangsal Pier - Gili Meno</t>
  </si>
  <si>
    <t>Bangsal Pier - Gili Trawangan Port</t>
  </si>
  <si>
    <t>Bangsal Pier - Sanur Transfer</t>
  </si>
  <si>
    <t>Gili Gede - Sanur Transfer</t>
  </si>
  <si>
    <t>Indonesia, Tanjung Priok</t>
  </si>
  <si>
    <t>Makassar - Tanjung Priok</t>
  </si>
  <si>
    <t>Martapura - I Gusti Ngurah Rai International Airport</t>
  </si>
  <si>
    <t>Terminal Mengwi - Terminal Bus Kebumen</t>
  </si>
  <si>
    <t>Terminal Mengwi - Terminal Purwokerto</t>
  </si>
  <si>
    <t>Terminal Mengwi - Terminal Purabaya Bungurasih</t>
  </si>
  <si>
    <t>Mengwi - Surabaya</t>
  </si>
  <si>
    <t>Terminal Mengwi - Terminal Tirtonadi</t>
  </si>
  <si>
    <t>Terminal Mengwi - Terminal Giwangan Yogyakarta</t>
  </si>
  <si>
    <t>Terminal Mengwi - Wisata Komodo Janti</t>
  </si>
  <si>
    <t>Natar - Bekasi</t>
  </si>
  <si>
    <t>Natar - Jakarta</t>
  </si>
  <si>
    <t>Terminal Baru Negara - Terminal Bus Kebumen</t>
  </si>
  <si>
    <t>Terminal Baru Negara - Terminal Purwokerto</t>
  </si>
  <si>
    <t>Terminal Baru Negara - Terminal Purabaya Bungurasih</t>
  </si>
  <si>
    <t>Terminal Baru Negara - Terminal Tirtonadi</t>
  </si>
  <si>
    <t>Terminal Baru Negara - Terminal Giwangan Yogyakarta</t>
  </si>
  <si>
    <t>Terminal Baru Negara - Wisata Komodo Janti</t>
  </si>
  <si>
    <t>Indonesia, Banten</t>
  </si>
  <si>
    <t>North Sulawesi - Banten</t>
  </si>
  <si>
    <t>Indonesia, Nusa Ceningan</t>
  </si>
  <si>
    <t>Indonesia, Nusa Dua</t>
  </si>
  <si>
    <t>Nusa Ceningan - Nusa Dua</t>
  </si>
  <si>
    <t>charter+ferry</t>
  </si>
  <si>
    <t>Indonesia, Nusa Lembongan</t>
  </si>
  <si>
    <t>Lembongan - Bangsal Harbour</t>
  </si>
  <si>
    <t>Lembongan - Gili Air</t>
  </si>
  <si>
    <t>Lembongan - Gili Trawangan Wijaya Buyuk</t>
  </si>
  <si>
    <t>Buyuk Harbor - Denpasar Airport</t>
  </si>
  <si>
    <t>Buyuk Harbor - Denpasar Transfer</t>
  </si>
  <si>
    <t>Buyuk Harbor - Jimbaran Transfer</t>
  </si>
  <si>
    <t>Buyuk Harbor - Kerobokan Transfer</t>
  </si>
  <si>
    <t>Buyuk Harbor - Kuta Transfer</t>
  </si>
  <si>
    <t>Buyuk Harbor - Legian Transfer</t>
  </si>
  <si>
    <t>Buyuk Harbor - Nusa Dua Transfer</t>
  </si>
  <si>
    <t>Buyuk Harbor - Seminyak Transfer</t>
  </si>
  <si>
    <t>Buyuk Harbor - Tanjung Benoa Transfer</t>
  </si>
  <si>
    <t>Buyuk Harbor - Umalas Transfer</t>
  </si>
  <si>
    <t>Buyuk Harbor - Happy Chappy Restaurant</t>
  </si>
  <si>
    <t>Buyuk Harbor - Sanur Transfer</t>
  </si>
  <si>
    <t>Stasiun Bangil - Kantor Wisata Komodo</t>
  </si>
  <si>
    <t>Stasiun Bangil - Kantor Wisata Komodo Gilimanuk</t>
  </si>
  <si>
    <t>Pasuruan - I Gusti Ngurah Rai International Airport</t>
  </si>
  <si>
    <t>Stasiun Bangil - Kapal</t>
  </si>
  <si>
    <t>Stasiun Bangil - Terminal Mengwi</t>
  </si>
  <si>
    <t>Stasiun Bangil - Alun Alun Kota Negara</t>
  </si>
  <si>
    <t>Stasiun Bangil - Terminal Baru Negara</t>
  </si>
  <si>
    <t>Stasiun Bangil - Terminal Pesiapan</t>
  </si>
  <si>
    <t>Terminal Purwokerto - Pelabuhan Ketapang</t>
  </si>
  <si>
    <t>Terminal Purwokerto - Kantor Wisata Komodo</t>
  </si>
  <si>
    <t>Terminal Purwokerto - Kantor Wisata Komodo Gilimanuk</t>
  </si>
  <si>
    <t>Terminal Purwokerto - Terminal Mengwi</t>
  </si>
  <si>
    <t>Terminal Purwokerto - Terminal Baru Negara</t>
  </si>
  <si>
    <t>Terminal Purwokerto - Terminal Pesiapan</t>
  </si>
  <si>
    <t>Rinca - I Gusti Ngurah Rai International Airport</t>
  </si>
  <si>
    <t>Indonesia, Salatiga</t>
  </si>
  <si>
    <t>Salatiga - Banten</t>
  </si>
  <si>
    <t>Sanur Transfer - Amed Transfer</t>
  </si>
  <si>
    <t>charter | MPV5</t>
  </si>
  <si>
    <t>Sanur Transfer - Candidasa Transfer</t>
  </si>
  <si>
    <t>Sanur Transfer - Canggu Transfer</t>
  </si>
  <si>
    <t>Sanur Transfer - Jimbaran Transfer</t>
  </si>
  <si>
    <t>Sanur Transfer - Kuta Transfer</t>
  </si>
  <si>
    <t>Sanur Transfer - Lovina</t>
  </si>
  <si>
    <t>Sanur Transfer - Nusa Dua Transfer</t>
  </si>
  <si>
    <t>Sanur Transfer - Padang Bai Port</t>
  </si>
  <si>
    <t>Sanur Transfer - Pecatu Transfer</t>
  </si>
  <si>
    <t>Sanur Transfer - Pemuteran Transfer</t>
  </si>
  <si>
    <t>Sanur Transfer - Seminyak Transfer</t>
  </si>
  <si>
    <t>Sanur Transfer - Tulamben Transfer</t>
  </si>
  <si>
    <t>Sanur Transfer - Uluwatu Transfer</t>
  </si>
  <si>
    <t>Sanur Wijaya Buyuk - Bangsal Harbour</t>
  </si>
  <si>
    <t>Sanur Transfer - Gili Air</t>
  </si>
  <si>
    <t>Sanur Wijaya Buyuk - Gili Air</t>
  </si>
  <si>
    <t>Sanur Transfer - Gili Trawangan Gili Getaway</t>
  </si>
  <si>
    <t>Sanur Wijaya Buyuk - Gili Trawangan Wijaya Buyuk</t>
  </si>
  <si>
    <t>Sanur Transfer - Kintamani Transfer</t>
  </si>
  <si>
    <t>Sanur Transfer - Bangsal Pier</t>
  </si>
  <si>
    <t>Sanur Transfer - Gili Gede</t>
  </si>
  <si>
    <t>Sanur Transfer - Buyuk Harbor</t>
  </si>
  <si>
    <t>Sanur Transfer - Ubud Transfer</t>
  </si>
  <si>
    <t>Indonesia, Singaraja</t>
  </si>
  <si>
    <t>Indonesia, Bogor</t>
  </si>
  <si>
    <t>Singaraja - Bogor</t>
  </si>
  <si>
    <t>Indonesia, Sleman</t>
  </si>
  <si>
    <t>Sleman - Jakarta Airport</t>
  </si>
  <si>
    <t>Terminal Purabaya Bungurasih - Kantor Wisata Komodo</t>
  </si>
  <si>
    <t>Terminal Purabaya Bungurasih - Kantor Wisata Komodo Gilimanuk</t>
  </si>
  <si>
    <t>Terminal Purabaya Bungurasih - Kapal</t>
  </si>
  <si>
    <t>Terminal Purabaya Bungurasih - Terminal Mengwi</t>
  </si>
  <si>
    <t>Terminal Purabaya Bungurasih - Alun Alun Kota Negara</t>
  </si>
  <si>
    <t>Terminal Purabaya Bungurasih - Terminal Baru Negara</t>
  </si>
  <si>
    <t>Terminal Purabaya Bungurasih - Terminal Pesiapan</t>
  </si>
  <si>
    <t>Terminal Tirtonadi - Pelabuhan Ketapang</t>
  </si>
  <si>
    <t>Terminal Tirtonadi - Kantor Wisata Komodo</t>
  </si>
  <si>
    <t>Terminal Tirtonadi - Kantor Wisata Komodo Gilimanuk</t>
  </si>
  <si>
    <t>Surakarta - Jatibening</t>
  </si>
  <si>
    <t>Terminal Tirtonadi - Terminal Mengwi</t>
  </si>
  <si>
    <t>Terminal Tirtonadi - Terminal Baru Negara</t>
  </si>
  <si>
    <t>Terminal Tirtonadi - Terminal Pesiapan</t>
  </si>
  <si>
    <t>Terminal Pesiapan - Terminal Bus Kebumen</t>
  </si>
  <si>
    <t>Terminal Pesiapan - Terminal Purwokerto</t>
  </si>
  <si>
    <t>Terminal Pesiapan - Terminal Purabaya Bungurasih</t>
  </si>
  <si>
    <t>Tabanan - Surabaya</t>
  </si>
  <si>
    <t>Terminal Pesiapan - Terminal Tirtonadi</t>
  </si>
  <si>
    <t>Terminal Pesiapan - Terminal Giwangan Yogyakarta</t>
  </si>
  <si>
    <t>Terminal Pesiapan - Wisata Komodo Janti</t>
  </si>
  <si>
    <t>Indonesia, Balikpapan</t>
  </si>
  <si>
    <t>Tanjung Priok - Balikpapan</t>
  </si>
  <si>
    <t>Tanjung Priok - Malang</t>
  </si>
  <si>
    <t>Coco Supermarket Ubud - Padang Bai Central Parking</t>
  </si>
  <si>
    <t>Ubud Transfer - Canggu Transfer</t>
  </si>
  <si>
    <t>Ubud Transfer - Jimbaran Transfer</t>
  </si>
  <si>
    <t>Ubud Transfer - Kuta Transfer</t>
  </si>
  <si>
    <t>Ubud Transfer - Lebih Transfer</t>
  </si>
  <si>
    <t>Ubud Transfer - Lodtunduh Transfer</t>
  </si>
  <si>
    <t>Ubud Transfer - Lovina</t>
  </si>
  <si>
    <t>Ubud Transfer - Nusa Dua Transfer</t>
  </si>
  <si>
    <t>Ubud Transfer - Padang Bai Transfer</t>
  </si>
  <si>
    <t>van | Economy</t>
  </si>
  <si>
    <t>Ubud Transfer - Payangan Transfer</t>
  </si>
  <si>
    <t>Ubud Transfer - Pecatu Transfer</t>
  </si>
  <si>
    <t>Ubud Transfer - Pemuteran Transfer</t>
  </si>
  <si>
    <t>Ubud Transfer - Seminyak Transfer</t>
  </si>
  <si>
    <t>Ubud Transfer - Sukawati Transfer</t>
  </si>
  <si>
    <t>Ubud Transfer - Tampaksiring Transfer</t>
  </si>
  <si>
    <t>Ubud Transfer - Taro Transfer</t>
  </si>
  <si>
    <t>Ubud Transfer - Tegalalang Transfer</t>
  </si>
  <si>
    <t>Ubud Transfer - Tulamben Transfer</t>
  </si>
  <si>
    <t>Ubud Transfer - Uluwatu Transfer</t>
  </si>
  <si>
    <t>Ubud Transfer - Kintamani Transfer</t>
  </si>
  <si>
    <t>Ubud - Pasuruan</t>
  </si>
  <si>
    <t>Ubud Transfer - Sanur Transfer</t>
  </si>
  <si>
    <t>Terminal Giwangan Yogyakarta - Pelabuhan Ketapang</t>
  </si>
  <si>
    <t>Wisata Komodo Janti - Pelabuhan Ketapang</t>
  </si>
  <si>
    <t>Terminal Giwangan Yogyakarta - Kantor Wisata Komodo</t>
  </si>
  <si>
    <t>Wisata Komodo Janti - Kantor Wisata Komodo</t>
  </si>
  <si>
    <t>Terminal Giwangan Yogyakarta - Kantor Wisata Komodo Gilimanuk</t>
  </si>
  <si>
    <t>Wisata Komodo Janti - Kantor Wisata Komodo Gilimanuk</t>
  </si>
  <si>
    <t>Yogyakarta - Jatibening</t>
  </si>
  <si>
    <t>Terminal Giwangan Yogyakarta - Terminal Mengwi</t>
  </si>
  <si>
    <t>Wisata Komodo Janti - Terminal Mengwi</t>
  </si>
  <si>
    <t>Terminal Giwangan Yogyakarta - Terminal Baru Negara</t>
  </si>
  <si>
    <t>Wisata Komodo Janti - Terminal Baru Negara</t>
  </si>
  <si>
    <t>Terminal Giwangan Yogyakarta - Terminal Pesiapan</t>
  </si>
  <si>
    <t>Wisata Komodo Janti - Terminal Pesiapan</t>
  </si>
  <si>
    <t>Yogyakarta - Tanjung Priok</t>
  </si>
  <si>
    <t>Ireland, Charleville</t>
  </si>
  <si>
    <t>Charleville - Toowoomba</t>
  </si>
  <si>
    <t>Charleville - Winton</t>
  </si>
  <si>
    <t>Charleville - Winton Meal Break</t>
  </si>
  <si>
    <t>Japan, Hachioji</t>
  </si>
  <si>
    <t>Japan, Mount Fuji</t>
  </si>
  <si>
    <t>Hachioji - Fujisan</t>
  </si>
  <si>
    <t>train | 3 Day Pass</t>
  </si>
  <si>
    <t>Japan, Otsuki</t>
  </si>
  <si>
    <t>Hachioji - Otsuki</t>
  </si>
  <si>
    <t>Japan, Uenohara</t>
  </si>
  <si>
    <t>Hachioji - Uenohara</t>
  </si>
  <si>
    <t>Japan, Hyogo</t>
  </si>
  <si>
    <t>Taiwan, Nangang</t>
  </si>
  <si>
    <t>Hyogo - Nangang</t>
  </si>
  <si>
    <t>Taiwan, New Taipei</t>
  </si>
  <si>
    <t>Hyogo - New Taipei</t>
  </si>
  <si>
    <t>Taiwan, Taipei</t>
  </si>
  <si>
    <t>Hyogo - Taipei</t>
  </si>
  <si>
    <t>Taiwan, Taoyuan Airport</t>
  </si>
  <si>
    <t>Hyogo - Taoyuan Airport</t>
  </si>
  <si>
    <t>Taiwan, Taoyuan City</t>
  </si>
  <si>
    <t>Hyogo - Taoyuan City</t>
  </si>
  <si>
    <t>Taiwan, Yangmingshan National Park</t>
  </si>
  <si>
    <t>Hyogo - Yangmingshan National Park</t>
  </si>
  <si>
    <t>Taiwan, Yilan</t>
  </si>
  <si>
    <t>Hyogo - Yilan</t>
  </si>
  <si>
    <t>Taiwan, Zhubei</t>
  </si>
  <si>
    <t>Hyogo - Zhubei</t>
  </si>
  <si>
    <t>Japan, Ibaraki</t>
  </si>
  <si>
    <t>Ibaraki - Bandar Sunway</t>
  </si>
  <si>
    <t>Ibaraki - Klang</t>
  </si>
  <si>
    <t>Ibaraki - Klia</t>
  </si>
  <si>
    <t>Ibaraki - Klia Ii</t>
  </si>
  <si>
    <t>Malaysia, Kuala Lumpur</t>
  </si>
  <si>
    <t>Ibaraki - Kuala Lumpur</t>
  </si>
  <si>
    <t>Ibaraki - Kuala Lumpur Airport</t>
  </si>
  <si>
    <t>Ibaraki - Kuala Lumpur Sentral</t>
  </si>
  <si>
    <t>Ibaraki - Putrajaya</t>
  </si>
  <si>
    <t>Ibaraki - Seremban</t>
  </si>
  <si>
    <t>Taiwan, Banqiao</t>
  </si>
  <si>
    <t>Ibaraki - Banqiao</t>
  </si>
  <si>
    <t>Taiwan, Hsinchu</t>
  </si>
  <si>
    <t>Ibaraki - Hsinchu</t>
  </si>
  <si>
    <t>Taiwan, Jiaoxi</t>
  </si>
  <si>
    <t>Ibaraki - Jiaoxi</t>
  </si>
  <si>
    <t>Taiwan, Keelung</t>
  </si>
  <si>
    <t>Ibaraki - Keelung</t>
  </si>
  <si>
    <t>Ibaraki - Nangang</t>
  </si>
  <si>
    <t>Ibaraki - New Taipei</t>
  </si>
  <si>
    <t>Ibaraki - Taoyuan City</t>
  </si>
  <si>
    <t>Ibaraki - Yangmingshan National Park</t>
  </si>
  <si>
    <t>Ibaraki - Yilan</t>
  </si>
  <si>
    <t>Ibaraki - Zhubei</t>
  </si>
  <si>
    <t>Ibaraki - Bangkok Airport</t>
  </si>
  <si>
    <t>Ibaraki - Don Mueang Airport</t>
  </si>
  <si>
    <t>Ibaraki - Rangsit</t>
  </si>
  <si>
    <t>Japan, Ichikawa Chiba</t>
  </si>
  <si>
    <t>Ichikawa Chiba - Bandar Sunway</t>
  </si>
  <si>
    <t>Ichikawa Chiba - Klang</t>
  </si>
  <si>
    <t>Ichikawa Chiba - Klia</t>
  </si>
  <si>
    <t>Ichikawa Chiba - Klia Ii</t>
  </si>
  <si>
    <t>Ichikawa Chiba - Kuala Lumpur</t>
  </si>
  <si>
    <t>Ichikawa Chiba - Kuala Lumpur Airport</t>
  </si>
  <si>
    <t>Ichikawa Chiba - Kuala Lumpur Sentral</t>
  </si>
  <si>
    <t>Ichikawa Chiba - Putrajaya</t>
  </si>
  <si>
    <t>Ichikawa Chiba - Seremban</t>
  </si>
  <si>
    <t>Ichikawa Chiba - Banqiao</t>
  </si>
  <si>
    <t>Ichikawa Chiba - Hsinchu</t>
  </si>
  <si>
    <t>Ichikawa Chiba - Jiaoxi</t>
  </si>
  <si>
    <t>Ichikawa Chiba - Keelung</t>
  </si>
  <si>
    <t>Ichikawa Chiba - Nangang</t>
  </si>
  <si>
    <t>Ichikawa Chiba - New Taipei</t>
  </si>
  <si>
    <t>Ichikawa Chiba - Taipei</t>
  </si>
  <si>
    <t>Ichikawa Chiba - Taoyuan Airport</t>
  </si>
  <si>
    <t>Ichikawa Chiba - Taoyuan City</t>
  </si>
  <si>
    <t>Ichikawa Chiba - Yangmingshan National Park</t>
  </si>
  <si>
    <t>Ichikawa Chiba - Yilan</t>
  </si>
  <si>
    <t>Ichikawa Chiba - Zhubei</t>
  </si>
  <si>
    <t>Ichikawa Chiba - Bangkok</t>
  </si>
  <si>
    <t>Ichikawa Chiba - Bangkok Airport</t>
  </si>
  <si>
    <t>Ichikawa Chiba - Don Mueang Airport</t>
  </si>
  <si>
    <t>Ichikawa Chiba - Rangsit</t>
  </si>
  <si>
    <t>Japan, Kokubunji</t>
  </si>
  <si>
    <t>Kokubunji - Hachioji</t>
  </si>
  <si>
    <t>Kokubunji - Fujisan</t>
  </si>
  <si>
    <t>Kokubunji - Otsuki</t>
  </si>
  <si>
    <t>Japan, Tachikawa</t>
  </si>
  <si>
    <t>Kokubunji - Tachikawa</t>
  </si>
  <si>
    <t>Kokubunji - Uenohara</t>
  </si>
  <si>
    <t>Japan, Narita city</t>
  </si>
  <si>
    <t>Narita City - Bandar Sunway</t>
  </si>
  <si>
    <t>Narita City - Klang</t>
  </si>
  <si>
    <t>Narita City - Klia</t>
  </si>
  <si>
    <t>Narita City - Klia Ii</t>
  </si>
  <si>
    <t>Narita City - Kuala Lumpur</t>
  </si>
  <si>
    <t>Narita City - Kuala Lumpur Airport</t>
  </si>
  <si>
    <t>Narita City - Kuala Lumpur Sentral</t>
  </si>
  <si>
    <t>Narita City - Putrajaya</t>
  </si>
  <si>
    <t>Narita City - Seremban</t>
  </si>
  <si>
    <t>Narita City - Banqiao</t>
  </si>
  <si>
    <t>Narita City - Hsinchu</t>
  </si>
  <si>
    <t>Narita City - Jiaoxi</t>
  </si>
  <si>
    <t>Narita City - Keelung</t>
  </si>
  <si>
    <t>Narita City - Nangang</t>
  </si>
  <si>
    <t>Narita City - New Taipei</t>
  </si>
  <si>
    <t>Narita City - Taipei</t>
  </si>
  <si>
    <t>Narita City - Taoyuan Airport</t>
  </si>
  <si>
    <t>Narita City - Taoyuan City</t>
  </si>
  <si>
    <t>Narita City - Yangmingshan National Park</t>
  </si>
  <si>
    <t>Narita City - Yilan</t>
  </si>
  <si>
    <t>Narita City - Zhubei</t>
  </si>
  <si>
    <t>Narita City - Bangkok Airport</t>
  </si>
  <si>
    <t>Narita City - Don Mueang Airport</t>
  </si>
  <si>
    <t>Narita City - Rangsit</t>
  </si>
  <si>
    <t>Japan, Osaka</t>
  </si>
  <si>
    <t>Japan, Universal Studios Japan</t>
  </si>
  <si>
    <t>Kaiyukan West Pier - Universal City Port</t>
  </si>
  <si>
    <t>Otsuki - Fujisan</t>
  </si>
  <si>
    <t>Tachikawa - Hachioji</t>
  </si>
  <si>
    <t>Tachikawa - Fujisan</t>
  </si>
  <si>
    <t>Tachikawa - Otsuki</t>
  </si>
  <si>
    <t>Tachikawa - Uenohara</t>
  </si>
  <si>
    <t>Japan, Tokyo</t>
  </si>
  <si>
    <t>Shinjuku - Hachioji</t>
  </si>
  <si>
    <t>Tokyo - Hachioji</t>
  </si>
  <si>
    <t>Shinjuku - Kokubunji</t>
  </si>
  <si>
    <t>Tokyo - Kokubunji</t>
  </si>
  <si>
    <t>Shinjuku - Fujisan</t>
  </si>
  <si>
    <t>Tokyo - Fujisan</t>
  </si>
  <si>
    <t>Shinjuku - Otsuki</t>
  </si>
  <si>
    <t>Tokyo - Otsuki</t>
  </si>
  <si>
    <t>Shinjuku - Tachikawa</t>
  </si>
  <si>
    <t>Tokyo - Tachikawa</t>
  </si>
  <si>
    <t>Shinjuku - Uenohara</t>
  </si>
  <si>
    <t>Tokyo - Uenohara</t>
  </si>
  <si>
    <t>Uenohara - Fujisan</t>
  </si>
  <si>
    <t>Uenohara - Otsuki</t>
  </si>
  <si>
    <t>Universal City Port - Kaiyukan West Pier</t>
  </si>
  <si>
    <t>Green Paradise Don Khone - Kampong Cham</t>
  </si>
  <si>
    <t>ferry | Longtail Boat + Minivan</t>
  </si>
  <si>
    <t>Green Paradise Don Khone - Phnom Penh</t>
  </si>
  <si>
    <t>Green Paradise Don Khone - Siem Reap Walking Street</t>
  </si>
  <si>
    <t>Laos, Don Det</t>
  </si>
  <si>
    <t>Green Paradise 4000 Islands - Kampong Cham</t>
  </si>
  <si>
    <t>ferry | Longtail Boat + Minivan + Van</t>
  </si>
  <si>
    <t>Green Paradise 4000 Islands - Phnom Penh</t>
  </si>
  <si>
    <t>Green Paradise 4000 Islands - Siem Reap Walking Street</t>
  </si>
  <si>
    <t>Laos, Salavan</t>
  </si>
  <si>
    <t>Green Paradise 4000 Islands - Tad Lo Village</t>
  </si>
  <si>
    <t>ferry | Longtail Boat + Van + Sleeper Bus</t>
  </si>
  <si>
    <t>Laos, Savannakhet</t>
  </si>
  <si>
    <t>Green Paradise 4000 Islands - Savannakhet Bus Station</t>
  </si>
  <si>
    <t>Green Paradise 4000 Islands - Thakhek</t>
  </si>
  <si>
    <t>Green Paradise 4000 Islands - Vang Vieng Bus Terminal</t>
  </si>
  <si>
    <t>Green Paradise Nong Nok Khiene Border - Champassak Terminal West</t>
  </si>
  <si>
    <t>Green Paradise Nong Nok Khiene Border - Don Det</t>
  </si>
  <si>
    <t>Green Paradise Nong Nok Khiene Border - Don Khone</t>
  </si>
  <si>
    <t>Green Paradise Nong Nok Khiene Border - Green Paradise Pakse</t>
  </si>
  <si>
    <t>Green Paradise Nong Nok Khiene Border - Savannakhet Bus Station</t>
  </si>
  <si>
    <t>Green Paradise Nong Nok Khiene Border - Thakhek</t>
  </si>
  <si>
    <t>Green Paradise Nong Nok Khiene Border - Vang Vieng Bus Terminal</t>
  </si>
  <si>
    <t>Green Paradise Nong Nok Khiene Border - Vientiane Southern Bus Station</t>
  </si>
  <si>
    <t>Laos, Luang Prabang</t>
  </si>
  <si>
    <t>Vang Vieng Transfer - Luang Prabang Railway Station</t>
  </si>
  <si>
    <t>train | First Class Reserved Seat</t>
  </si>
  <si>
    <t>train | Second Class Seat</t>
  </si>
  <si>
    <t>Laos, Oudomxay</t>
  </si>
  <si>
    <t>Vang Vieng Transfer - Meuang Xay Railway Station</t>
  </si>
  <si>
    <t>Vang Vieng Transfer - Vientiane Railway Station</t>
  </si>
  <si>
    <t>China, Jinghong</t>
  </si>
  <si>
    <t>Vientiane Transfer - Xishuangbanna Railway Station</t>
  </si>
  <si>
    <t>Vientiane Transfer - Kunming Railway Station</t>
  </si>
  <si>
    <t>China, Mohan Yunnan</t>
  </si>
  <si>
    <t>Vientiane Transfer - Mohan Railway Station</t>
  </si>
  <si>
    <t>Laos, Luang Namtha</t>
  </si>
  <si>
    <t>Vientiane Transfer - Boten Railway Station</t>
  </si>
  <si>
    <t>Vientiane Transfer - Luang Prabang Railway Station</t>
  </si>
  <si>
    <t>Laos, Nateuy</t>
  </si>
  <si>
    <t>Vientiane Transfer - Nateuy Railway Station</t>
  </si>
  <si>
    <t>Vientiane Transfer - Meuang Xay Railway Station</t>
  </si>
  <si>
    <t>Vientiane Transfer - Vang Vieng Railway Station</t>
  </si>
  <si>
    <t>Khamsavath Railway station - Krung Thep Aphiwat Central Terminal Station</t>
  </si>
  <si>
    <t>van | Van + Second Class Sleeping AC Lower</t>
  </si>
  <si>
    <t>Vientiane Northern Bus Stop - Bangkok Train Station</t>
  </si>
  <si>
    <t>train | Van + 2nd Class AC seats</t>
  </si>
  <si>
    <t>train | Van + 3rd Class Fan seats</t>
  </si>
  <si>
    <t>train | Van + Second Class Sleeper AC</t>
  </si>
  <si>
    <t>Vientiane Railway Station - Bangkok Train Station</t>
  </si>
  <si>
    <t>Vientiane Southern Bus Stop - Bangkok Train Station</t>
  </si>
  <si>
    <t>Vientiane Transfer - Bangkok Train Station</t>
  </si>
  <si>
    <t>Vientiane Transfer - Krung Thep Aphiwat Central Terminal Station</t>
  </si>
  <si>
    <t>van | Van + First Class Sleeper Train Lower</t>
  </si>
  <si>
    <t>van | Van + First Class Sleeper Train Upper</t>
  </si>
  <si>
    <t>van | Van + Second Class Sitting AC</t>
  </si>
  <si>
    <t>van | Van + Second Class Sitting Fan</t>
  </si>
  <si>
    <t>van | Van + Second Class Sleeping AC Upper</t>
  </si>
  <si>
    <t>van | Van + Third Class Sitting Fan</t>
  </si>
  <si>
    <t>Thailand, Khon Kaen</t>
  </si>
  <si>
    <t>Vientiane Northern Bus Stop - Khon Kaen</t>
  </si>
  <si>
    <t>Vientiane Railway Station - Khon Kaen</t>
  </si>
  <si>
    <t>Vientiane Southern Bus Stop - Khon Kaen</t>
  </si>
  <si>
    <t>Vientiane Transfer - Khon Kaen</t>
  </si>
  <si>
    <t>Thailand, Nong Khai</t>
  </si>
  <si>
    <t>Vientiane Northern Bus Stop - Nong Khai</t>
  </si>
  <si>
    <t>Vientiane Railway Station - Nong Khai</t>
  </si>
  <si>
    <t>Vientiane Southern Bus Stop - Nong Khai</t>
  </si>
  <si>
    <t>Vientiane Transfer - Nong Khai</t>
  </si>
  <si>
    <t>Thailand, Udon Thani</t>
  </si>
  <si>
    <t>Vientiane Northern Bus Stop - Udon Thani</t>
  </si>
  <si>
    <t>Vientiane Railway Station - Udon Thani</t>
  </si>
  <si>
    <t>Vientiane Southern Bus Stop - Udon Thani</t>
  </si>
  <si>
    <t>Vientiane Transfer - Udon Thani</t>
  </si>
  <si>
    <t>Malaysia, Kelantan</t>
  </si>
  <si>
    <t>Malaysia, Terengganu</t>
  </si>
  <si>
    <t>Kota Bharu Airport - Merang Jetty</t>
  </si>
  <si>
    <t>Malaysia, Klang Valley</t>
  </si>
  <si>
    <t>Klang Valley - Klia</t>
  </si>
  <si>
    <t>Klang Valley - Klia Ii</t>
  </si>
  <si>
    <t>Klang Valley - Kuala Lumpur Airport</t>
  </si>
  <si>
    <t>Klia - Klang Valley</t>
  </si>
  <si>
    <t>Klia Ii - Klang Valley</t>
  </si>
  <si>
    <t>Malaysia, Batu Caves</t>
  </si>
  <si>
    <t>Kuala Lumpur Airport - Batu Caves</t>
  </si>
  <si>
    <t>charter | Van 13pax</t>
  </si>
  <si>
    <t>Kuala Lumpur Airport - Ampang Transfer</t>
  </si>
  <si>
    <t>Kuala Lumpur Airport - Bandar Sri Damansara Transfer</t>
  </si>
  <si>
    <t>Kuala Lumpur Airport - Bangsar Transfer</t>
  </si>
  <si>
    <t>Kuala Lumpur Airport - Bukit Jalil Transfer</t>
  </si>
  <si>
    <t>Kuala Lumpur Airport - Cheras Transfer</t>
  </si>
  <si>
    <t>Kuala Lumpur Airport - Desa ParkCity Transfer</t>
  </si>
  <si>
    <t>Kuala Lumpur Airport - Kajang Transfer</t>
  </si>
  <si>
    <t>Kuala Lumpur Airport - Kepong Transfer</t>
  </si>
  <si>
    <t>Kuala Lumpur Airport - Kuala Lumpur Hotel Transfer</t>
  </si>
  <si>
    <t>Kuala Lumpur Airport - Mont Kiara Transfer</t>
  </si>
  <si>
    <t>Kuala Lumpur Airport - Overseas Union Garden</t>
  </si>
  <si>
    <t>Kuala Lumpur Airport - Pandan Indah Transfer</t>
  </si>
  <si>
    <t>Kuala Lumpur Airport - Putrajaya Transfer</t>
  </si>
  <si>
    <t>Kuala Lumpur Airport - Sri Hartamas Transfer</t>
  </si>
  <si>
    <t>Kuala Lumpur Airport - Sri Petaling Transfer</t>
  </si>
  <si>
    <t>Kuala Lumpur Airport - Sungai Besi Transfer</t>
  </si>
  <si>
    <t>Kuala Lumpur Airport - Taman Connaught Transfer</t>
  </si>
  <si>
    <t>Kuala Lumpur Airport - Taman Desa Transfer</t>
  </si>
  <si>
    <t>Kuala Lumpur Airport - Taman Tun Dr Ismail Transfer</t>
  </si>
  <si>
    <t>Kuala Lumpur Airport - Wangsa Maju Transfer</t>
  </si>
  <si>
    <t>Malaysia, Pahang</t>
  </si>
  <si>
    <t>Kuala Lumpur Airport - Bukit Tinggi Transfer</t>
  </si>
  <si>
    <t>Kuala Lumpur Airport - Subang Jaya Transfer</t>
  </si>
  <si>
    <t>Malaysia, Rawang</t>
  </si>
  <si>
    <t>Kuala Lumpur Airport - Rawang Hotel Transfer</t>
  </si>
  <si>
    <t>Malaysia, Selangor</t>
  </si>
  <si>
    <t>Kuala Lumpur Airport - Ara Damansara Transfer</t>
  </si>
  <si>
    <t>Kuala Lumpur Airport - Bandar Kinrara Transfer</t>
  </si>
  <si>
    <t>Kuala Lumpur Airport - Bandar Sunway Transfer</t>
  </si>
  <si>
    <t>Kuala Lumpur Airport - Bandar Utama Transfer</t>
  </si>
  <si>
    <t>Kuala Lumpur Airport - Bukit Antarabangsa Transfer</t>
  </si>
  <si>
    <t>Kuala Lumpur Airport - Cyberjaya Transfer</t>
  </si>
  <si>
    <t>Kuala Lumpur Airport - Damansara Perdana Transfer</t>
  </si>
  <si>
    <t>Kuala Lumpur Airport - Damansara Transfer</t>
  </si>
  <si>
    <t>Kuala Lumpur Airport - Gombak Transfer</t>
  </si>
  <si>
    <t>Kuala Lumpur Airport - Kinrara Transfer</t>
  </si>
  <si>
    <t>Kuala Lumpur Airport - Klang Transfer</t>
  </si>
  <si>
    <t>Kuala Lumpur Airport - Kota Damansara Transfer</t>
  </si>
  <si>
    <t>Kuala Lumpur Airport - Meru Transfer</t>
  </si>
  <si>
    <t>Kuala Lumpur Airport - Petaling Jaya Transfer</t>
  </si>
  <si>
    <t>Kuala Lumpur Airport - Port Klang</t>
  </si>
  <si>
    <t>Kuala Lumpur Airport - Puchong Transfer</t>
  </si>
  <si>
    <t>Kuala Lumpur Airport - Puncak Alam Transfer</t>
  </si>
  <si>
    <t>Kuala Lumpur Airport - Selayang Transfer</t>
  </si>
  <si>
    <t>Kuala Lumpur Airport - Semenyih Transfer</t>
  </si>
  <si>
    <t>Kuala Lumpur Airport - Serdang Transfer</t>
  </si>
  <si>
    <t>Kuala Lumpur Airport - Setia Alam Transfer</t>
  </si>
  <si>
    <t>Kuala Lumpur Airport - Sungai Buloh Transfer</t>
  </si>
  <si>
    <t>Kuala Lumpur Airport - Taman Melawati Transfer</t>
  </si>
  <si>
    <t>Kuala Lumpur Airport - Tropicana Transfer</t>
  </si>
  <si>
    <t>Kuala Lumpur Airport - UEP Subang Jaya Transfer</t>
  </si>
  <si>
    <t>Malaysia, Shah Alam</t>
  </si>
  <si>
    <t>Kuala Lumpur Airport - Shah Alam Hotel Transfer</t>
  </si>
  <si>
    <t>Indonesia, Karimunbesar</t>
  </si>
  <si>
    <t>Kuala Lumpur Sentral - Karimunbesar</t>
  </si>
  <si>
    <t>Malaysia, Skudai</t>
  </si>
  <si>
    <t>Kuala Lumpur Sentral - Skudai</t>
  </si>
  <si>
    <t>Penang beach - Penang International Airport</t>
  </si>
  <si>
    <t>charter | Coach 44 Seater</t>
  </si>
  <si>
    <t>charter | Coach VIP 31</t>
  </si>
  <si>
    <t>charter | Van 14pax</t>
  </si>
  <si>
    <t>charter | Van 16pax</t>
  </si>
  <si>
    <t>Penang Hotel Transfer - Penang International Airport</t>
  </si>
  <si>
    <t>Penang International Airport - Penang beach</t>
  </si>
  <si>
    <t>Penang International Airport - Penang Hotel Transfer</t>
  </si>
  <si>
    <t>Thailand, Hat Yai</t>
  </si>
  <si>
    <t>Penang Hotel Transfer - Hat Yai Transfer</t>
  </si>
  <si>
    <t>Thailand, Songkhla</t>
  </si>
  <si>
    <t>Penang Hotel Transfer - Padang Besar Immigration Thailand Side</t>
  </si>
  <si>
    <t>Malaysia, Redang</t>
  </si>
  <si>
    <t>Long Beach Jetty - Merang Jetty AL</t>
  </si>
  <si>
    <t>Long Beach Jetty - Merang Jetty BA</t>
  </si>
  <si>
    <t>Merang Jetty - Kota Bharu Airport</t>
  </si>
  <si>
    <t>Merang Jetty AL - Long Beach Jetty</t>
  </si>
  <si>
    <t>Merang Jetty AL - Redang Island Jetty</t>
  </si>
  <si>
    <t>Merang Jetty BA - Long Beach Jetty</t>
  </si>
  <si>
    <t>Merang Jetty BA - Redang Island Jetty</t>
  </si>
  <si>
    <t>Kuala Besut Jetty - Merang Jetty</t>
  </si>
  <si>
    <t>Kuala Terengganu Airport - Merang Jetty</t>
  </si>
  <si>
    <t>Merang Jetty - Kuala Besut Jetty</t>
  </si>
  <si>
    <t>Merang Jetty - Kuala Terengganu Airport</t>
  </si>
  <si>
    <t>Maldives, Male</t>
  </si>
  <si>
    <t>Thailand, Karon</t>
  </si>
  <si>
    <t>Male - Karon</t>
  </si>
  <si>
    <t>Mexico, Ciudad Obregon</t>
  </si>
  <si>
    <t>Mexico, Culiacan</t>
  </si>
  <si>
    <t>Cd Obregon - Culiacan Bus Station</t>
  </si>
  <si>
    <t>Ciudad Obregon - Culiacan</t>
  </si>
  <si>
    <t>Mexico, Mazatlan</t>
  </si>
  <si>
    <t>Cd Obregon - Mazatlan</t>
  </si>
  <si>
    <t>Ciudad Obregon - Mazatlan</t>
  </si>
  <si>
    <t>Mexico, Empalme</t>
  </si>
  <si>
    <t>Mexico, Hermosillo</t>
  </si>
  <si>
    <t>Empalme - Hermosillo</t>
  </si>
  <si>
    <t>Empalme - Hermosillo Bus Station</t>
  </si>
  <si>
    <t>Mexico, Tepic</t>
  </si>
  <si>
    <t>Mexico, Guamuchil</t>
  </si>
  <si>
    <t>Tepic Tufesa - Guamuchil Bus Station</t>
  </si>
  <si>
    <t>Tepic - Guamuchil</t>
  </si>
  <si>
    <t>Mexico, Tijuana</t>
  </si>
  <si>
    <t>USA, Ontario California</t>
  </si>
  <si>
    <t>Tijuana - Ontario California</t>
  </si>
  <si>
    <t>Morocco, Agadir</t>
  </si>
  <si>
    <t>Morocco, Casablanca</t>
  </si>
  <si>
    <t>Agadir Hotel Transfer - Mohammed V International Airport</t>
  </si>
  <si>
    <t>charter | Van 15pax</t>
  </si>
  <si>
    <t>Morocco, Rabat</t>
  </si>
  <si>
    <t>Agadir Hotel Transfer - Rabat Sale Airport</t>
  </si>
  <si>
    <t>Morocco, Asilah</t>
  </si>
  <si>
    <t>Asilah Hotel Transfer - Rabat Sale Airport</t>
  </si>
  <si>
    <t>Morocco, Bouznika</t>
  </si>
  <si>
    <t>Bouznika Hotel Transfer - Rabat Sale Airport</t>
  </si>
  <si>
    <t>Mohammed V International Airport - Agadir Hotel Transfer</t>
  </si>
  <si>
    <t>Morocco, Chefchaouen</t>
  </si>
  <si>
    <t>Mohammed V International Airport - Chefchaouen Hotel Transfer</t>
  </si>
  <si>
    <t>Morocco, Er Rachidia</t>
  </si>
  <si>
    <t>Mohammed V International Airport - Er Rachidia Hotel Transfer</t>
  </si>
  <si>
    <t>Morocco, Erfoud</t>
  </si>
  <si>
    <t>Mohammed V International Airport - Erfoud Hotel Transfer</t>
  </si>
  <si>
    <t>Morocco, Essaouira</t>
  </si>
  <si>
    <t>Mohammed V International Airport - Essaouira Hotel Transfer</t>
  </si>
  <si>
    <t>Morocco, Fes</t>
  </si>
  <si>
    <t>Mohammed V International Airport - Fes Hotel Transfer</t>
  </si>
  <si>
    <t>Morocco, Kenitra</t>
  </si>
  <si>
    <t>Mohammed V International Airport - Kenitra Hotel Transfer</t>
  </si>
  <si>
    <t>Morocco, Marrakesh</t>
  </si>
  <si>
    <t>Mohammed V International Airport - Marrakesh Hotel Transfer</t>
  </si>
  <si>
    <t>Morocco, Meknes</t>
  </si>
  <si>
    <t>Mohammed V International Airport - Meknes Hotel Transfer</t>
  </si>
  <si>
    <t>Morocco, Ouarzazate</t>
  </si>
  <si>
    <t>Mohammed V International Airport - Ouarzazate Hotel Transfer</t>
  </si>
  <si>
    <t>Morocco, Oujda</t>
  </si>
  <si>
    <t>Mohammed V International Airport - Oujda Hotel Transfer</t>
  </si>
  <si>
    <t>Casablanca Hotel Transfer - Rabat Sale Airport</t>
  </si>
  <si>
    <t>Mohammed V International Airport - Rabat Hotel Transfer</t>
  </si>
  <si>
    <t>Morocco, Sale</t>
  </si>
  <si>
    <t>Mohammed V International Airport - Sale Hotel Transfer</t>
  </si>
  <si>
    <t>Morocco, Tangier</t>
  </si>
  <si>
    <t>Mohammed V International Airport - Tangier Hotel Transfer</t>
  </si>
  <si>
    <t>Morocco, Temara</t>
  </si>
  <si>
    <t>Mohammed V International Airport - Temara Hotel Transfer</t>
  </si>
  <si>
    <t>Chefchaouen Hotel Transfer - Mohammed V International Airport</t>
  </si>
  <si>
    <t>Chefchaouen Hotel Transfer - Rabat Sale Airport</t>
  </si>
  <si>
    <t>Morocco, El Jadida</t>
  </si>
  <si>
    <t>El Jadida Hotel Transfer - Rabat Sale Airport</t>
  </si>
  <si>
    <t>Er Rachidia Hotel Transfer - Mohammed V International Airport</t>
  </si>
  <si>
    <t>Erfoud Hotel Transfer - Mohammed V International Airport</t>
  </si>
  <si>
    <t>Essaouira Hotel Transfer - Mohammed V International Airport</t>
  </si>
  <si>
    <t>Fes Hotel Transfer - Mohammed V International Airport</t>
  </si>
  <si>
    <t>Fes Airport - Rabat Sale Airport</t>
  </si>
  <si>
    <t>Fes Hotel Transfer - Rabat Sale Airport</t>
  </si>
  <si>
    <t>Morocco, Ifrane</t>
  </si>
  <si>
    <t>Ifrane Hotel Transfer - Rabat Sale Airport</t>
  </si>
  <si>
    <t>Kenitra Hotel Transfer - Mohammed V International Airport</t>
  </si>
  <si>
    <t>Kenitra Hotel Transfer - Rabat Sale Airport</t>
  </si>
  <si>
    <t>Morocco, Khouribga</t>
  </si>
  <si>
    <t>Khouribga Hotel Transfer - Rabat Sale Airport</t>
  </si>
  <si>
    <t>Morocco, Larache</t>
  </si>
  <si>
    <t>Larache Hotel Transfer - Rabat Sale Airport</t>
  </si>
  <si>
    <t>Marrakesh Hotel Transfer - Mohammed V International Airport</t>
  </si>
  <si>
    <t>Marrakech Medina Transfer - Rabat Sale Airport</t>
  </si>
  <si>
    <t>Marrakesh Hotel Transfer - Rabat Sale Airport</t>
  </si>
  <si>
    <t>Meknes Hotel Transfer - Mohammed V International Airport</t>
  </si>
  <si>
    <t>Meknes Hotel Transfer - Rabat Sale Airport</t>
  </si>
  <si>
    <t>Morocco, Mohammedia</t>
  </si>
  <si>
    <t>Mohammedia Hotel Transfer - Rabat Sale Airport</t>
  </si>
  <si>
    <t>Morocco, Moulay Bousselham</t>
  </si>
  <si>
    <t>Moulay Bousselham Hotel Transfer - Rabat Sale Airport</t>
  </si>
  <si>
    <t>Morocco, Nador</t>
  </si>
  <si>
    <t>Nador Hotel Transfer - Rabat Sale Airport</t>
  </si>
  <si>
    <t>Ouarzazate Hotel Transfer - Mohammed V International Airport</t>
  </si>
  <si>
    <t>Oujda Hotel Transfer - Mohammed V International Airport</t>
  </si>
  <si>
    <t>Rabat Sale Airport - Agadir Hotel Transfer</t>
  </si>
  <si>
    <t>Rabat Sale Airport - Asilah Hotel Transfer</t>
  </si>
  <si>
    <t>Rabat Sale Airport - Bouznika Hotel Transfer</t>
  </si>
  <si>
    <t>Rabat Hotel Transfer - Mohammed V International Airport</t>
  </si>
  <si>
    <t>Rabat Sale Airport - Casablanca Hotel Transfer</t>
  </si>
  <si>
    <t>Rabat Sale Airport - Chefchaouen Hotel Transfer</t>
  </si>
  <si>
    <t>Rabat Sale Airport - El Jadida Hotel Transfer</t>
  </si>
  <si>
    <t>Rabat Sale Airport - Fes Airport</t>
  </si>
  <si>
    <t>Rabat Sale Airport - Fes Hotel Transfer</t>
  </si>
  <si>
    <t>Rabat Sale Airport - Ifrane Hotel Transfer</t>
  </si>
  <si>
    <t>Rabat Sale Airport - Kenitra Hotel Transfer</t>
  </si>
  <si>
    <t>Rabat Sale Airport - Khouribga Hotel Transfer</t>
  </si>
  <si>
    <t>Rabat Sale Airport - Larache Hotel Transfer</t>
  </si>
  <si>
    <t>Rabat Sale Airport - Marrakech Medina Transfer</t>
  </si>
  <si>
    <t>Rabat Sale Airport - Marrakesh Hotel Transfer</t>
  </si>
  <si>
    <t>Rabat Sale Airport - Meknes Hotel Transfer</t>
  </si>
  <si>
    <t>Rabat Sale Airport - Mohammedia Hotel Transfer</t>
  </si>
  <si>
    <t>Rabat Sale Airport - Moulay Bousselham Hotel Transfer</t>
  </si>
  <si>
    <t>Rabat Sale Airport - Nador Hotel Transfer</t>
  </si>
  <si>
    <t>Rabat Hotel Transfer - Rabat Sale Airport</t>
  </si>
  <si>
    <t>Rabat Sale Airport - Rabat Hotel Transfer</t>
  </si>
  <si>
    <t>Morocco, Safi</t>
  </si>
  <si>
    <t>Rabat Sale Airport - Safi Hotel Transfer</t>
  </si>
  <si>
    <t>Rabat Sale Airport - Sale Hotel Transfer</t>
  </si>
  <si>
    <t>Morocco, Sidi Slimane</t>
  </si>
  <si>
    <t>Rabat Sale Airport - Sidi Slimane Hotel Transfer</t>
  </si>
  <si>
    <t>Morocco, Skhirat</t>
  </si>
  <si>
    <t>Rabat Sale Airport - Skhirat Plage Hotel Transfer</t>
  </si>
  <si>
    <t>Rabat Sale Airport - Tangier Hotel Transfer</t>
  </si>
  <si>
    <t>Morocco, Taza</t>
  </si>
  <si>
    <t>Rabat Sale Airport - Taza Hotel Transfer</t>
  </si>
  <si>
    <t>Rabat Sale Airport - Temara Hotel Transfer</t>
  </si>
  <si>
    <t>Morocco, Tetouan</t>
  </si>
  <si>
    <t>Rabat Sale Airport - Tetouan Hotel Transfer</t>
  </si>
  <si>
    <t>Safi Hotel Transfer - Rabat Sale Airport</t>
  </si>
  <si>
    <t>Sale Hotel Transfer - Mohammed V International Airport</t>
  </si>
  <si>
    <t>Sale Hotel Transfer - Rabat Sale Airport</t>
  </si>
  <si>
    <t>Sidi Slimane Hotel Transfer - Rabat Sale Airport</t>
  </si>
  <si>
    <t>Skhirat Plage Hotel Transfer - Rabat Sale Airport</t>
  </si>
  <si>
    <t>Tangier Hotel Transfer - Mohammed V International Airport</t>
  </si>
  <si>
    <t>Tangier Hotel Transfer - Rabat Sale Airport</t>
  </si>
  <si>
    <t>Taza Hotel Transfer - Rabat Sale Airport</t>
  </si>
  <si>
    <t>Temara Hotel Transfer - Mohammed V International Airport</t>
  </si>
  <si>
    <t>Temara Hotel Transfer - Rabat Sale Airport</t>
  </si>
  <si>
    <t>Tetouan Hotel Transfer - Rabat Sale Airport</t>
  </si>
  <si>
    <t>Nepal, Bhaktapur</t>
  </si>
  <si>
    <t>Bhaktapur - Don Mueang Airport</t>
  </si>
  <si>
    <t>Bhaktapur - Rangsit</t>
  </si>
  <si>
    <t>New Zealand, Auckland</t>
  </si>
  <si>
    <t>New Zealand, Great Barrier Island</t>
  </si>
  <si>
    <t>Hamer Street Ferry Terminal - Tryphena Wharf Ferry Terminal</t>
  </si>
  <si>
    <t>New Zealand, Waiheke Island</t>
  </si>
  <si>
    <t>Viaduct Harbour - Matiatia Ferry Terminal</t>
  </si>
  <si>
    <t>Tryphena Wharf Ferry Terminal - Hamer Street Ferry Terminal</t>
  </si>
  <si>
    <t>Matiatia Ferry Terminal - Viaduct Harbour</t>
  </si>
  <si>
    <t>Philippines, Antipolo</t>
  </si>
  <si>
    <t>Philippines, Antique</t>
  </si>
  <si>
    <t>Robinsons Antipolo - San Jose de Buenavista Bus Terminal</t>
  </si>
  <si>
    <t>bus | First Class</t>
  </si>
  <si>
    <t>Philippines, Capiz</t>
  </si>
  <si>
    <t>Robinsons Antipolo - Roxas City Integrated Terminal</t>
  </si>
  <si>
    <t>Philippines, Caticlan</t>
  </si>
  <si>
    <t>Robinsons Antipolo - Caticlan Jetty Port</t>
  </si>
  <si>
    <t>Philippines, Iloilo</t>
  </si>
  <si>
    <t>Robinsons Antipolo - Estancia Bus Terminal</t>
  </si>
  <si>
    <t>Robinsons Antipolo - Tagbak Bus Terminal</t>
  </si>
  <si>
    <t>Philippines, Bohol</t>
  </si>
  <si>
    <t>Philippines, Oroquieta</t>
  </si>
  <si>
    <t>Tagbilaran City Seaport - Oroquieta Port</t>
  </si>
  <si>
    <t>Philippines, Cavite</t>
  </si>
  <si>
    <t>Philippines, Macabalan</t>
  </si>
  <si>
    <t>Cavite - Macabalan</t>
  </si>
  <si>
    <t>Philippines, Western Visayas</t>
  </si>
  <si>
    <t>Cavite - Western Visayas</t>
  </si>
  <si>
    <t>Philippines, Zamboanga</t>
  </si>
  <si>
    <t>Cavite - Zamboanga</t>
  </si>
  <si>
    <t>Philippines, Cebu</t>
  </si>
  <si>
    <t>Cebu Starlite Ferries - Tagbilaran City Seaport</t>
  </si>
  <si>
    <t>Philippines, Coron</t>
  </si>
  <si>
    <t>Busuanga Airport - Calauit Island Safari</t>
  </si>
  <si>
    <t>Busuanga Airport - Coron Town</t>
  </si>
  <si>
    <t>Busuanga Airport - Pearl Bay</t>
  </si>
  <si>
    <t>Coron - Calauit Island Safari</t>
  </si>
  <si>
    <t>Coron - Maquinit Hot Spring</t>
  </si>
  <si>
    <t>Coron Town - Coron Town</t>
  </si>
  <si>
    <t>Coron Town - Lualhati Park</t>
  </si>
  <si>
    <t>Philippines, Manila</t>
  </si>
  <si>
    <t>Coron Port - Baseco Port</t>
  </si>
  <si>
    <t>ferry | Economy</t>
  </si>
  <si>
    <t>ferry | Premium</t>
  </si>
  <si>
    <t>Philippines, Dapitan</t>
  </si>
  <si>
    <t>Philippines, Mandaue</t>
  </si>
  <si>
    <t>Dapitan - Mandaue</t>
  </si>
  <si>
    <t>Tagbak Bus Terminal - Robinsons Antipolo</t>
  </si>
  <si>
    <t>Baseco Port - Coron Port</t>
  </si>
  <si>
    <t>Philippines, El Nido</t>
  </si>
  <si>
    <t>Baseco Port - El Nido Ferry Terminal</t>
  </si>
  <si>
    <t>Philippines, Nueva Ecija</t>
  </si>
  <si>
    <t>Cubao Five Star Terminal - Licab</t>
  </si>
  <si>
    <t>bus | Regular AC</t>
  </si>
  <si>
    <t>Sri Lanka, Ahangama</t>
  </si>
  <si>
    <t>Sri Lanka, Dambulla</t>
  </si>
  <si>
    <t>Ahangama - Dambulla</t>
  </si>
  <si>
    <t>Sri Lanka, Ella</t>
  </si>
  <si>
    <t>Ahangama - Ella</t>
  </si>
  <si>
    <t>Sri Lanka, Kandy</t>
  </si>
  <si>
    <t>Ahangama - Kandy</t>
  </si>
  <si>
    <t>Sri Lanka, Negombo</t>
  </si>
  <si>
    <t>Ahangama - Negombo</t>
  </si>
  <si>
    <t>Sri Lanka, Nuwara Eliya</t>
  </si>
  <si>
    <t>Ahangama - Nuwara Eliya</t>
  </si>
  <si>
    <t>Sri Lanka, Sigiriya</t>
  </si>
  <si>
    <t>Ahangama - Sigiriya</t>
  </si>
  <si>
    <t>Sri Lanka, Tissamaharama</t>
  </si>
  <si>
    <t>Ahangama - Tissamaharama</t>
  </si>
  <si>
    <t>Sri Lanka, Ahungalla</t>
  </si>
  <si>
    <t>Ahungalla - Dambulla</t>
  </si>
  <si>
    <t>Ahungalla - Ella</t>
  </si>
  <si>
    <t>Ahungalla - Kandy</t>
  </si>
  <si>
    <t>Ahungalla - Negombo</t>
  </si>
  <si>
    <t>Ahungalla - Nuwara Eliya</t>
  </si>
  <si>
    <t>Ahungalla - Sigiriya</t>
  </si>
  <si>
    <t>Ahungalla - Tissamaharama</t>
  </si>
  <si>
    <t>Sri Lanka, Aluthgama</t>
  </si>
  <si>
    <t>Sri Lanka, Colombo</t>
  </si>
  <si>
    <t>Aluthgama - Colombo</t>
  </si>
  <si>
    <t>Sri Lanka, Colombo Airport</t>
  </si>
  <si>
    <t>Aluthgama - Katunayake</t>
  </si>
  <si>
    <t>Aluthgama - Dambulla</t>
  </si>
  <si>
    <t>Aluthgama - Ella</t>
  </si>
  <si>
    <t>Aluthgama - Kandy</t>
  </si>
  <si>
    <t>Aluthgama - Negombo</t>
  </si>
  <si>
    <t>Aluthgama - Nuwara Eliya</t>
  </si>
  <si>
    <t>Aluthgama - Sigiriya</t>
  </si>
  <si>
    <t>Aluthgama - Tissamaharama</t>
  </si>
  <si>
    <t>Aluthgama - Yala Park</t>
  </si>
  <si>
    <t>Sri Lanka, Ambalangoda</t>
  </si>
  <si>
    <t>Ambalangoda - Colombo</t>
  </si>
  <si>
    <t>Ambalangoda - Dambulla</t>
  </si>
  <si>
    <t>Ambalangoda - Ella</t>
  </si>
  <si>
    <t>Ambalangoda - Kandy</t>
  </si>
  <si>
    <t>Ambalangoda - Negombo</t>
  </si>
  <si>
    <t>Ambalangoda - Nuwara Eliya</t>
  </si>
  <si>
    <t>Ambalangoda - Sigiriya</t>
  </si>
  <si>
    <t>Ambalangoda - Tissamaharama</t>
  </si>
  <si>
    <t>Ambalangoda - Yala Park</t>
  </si>
  <si>
    <t>Sri Lanka, Ambalantota</t>
  </si>
  <si>
    <t>Ambalantota - Colombo</t>
  </si>
  <si>
    <t>Ambalantota - Bandaranaike Airport</t>
  </si>
  <si>
    <t>Ambalantota - Katunayake</t>
  </si>
  <si>
    <t>Ambalantota - Dambulla</t>
  </si>
  <si>
    <t>Ambalantota - Ella</t>
  </si>
  <si>
    <t>Ambalantota - Kandy</t>
  </si>
  <si>
    <t>Ambalantota - Negombo</t>
  </si>
  <si>
    <t>Ambalantota - Nuwara Eliya</t>
  </si>
  <si>
    <t>Ambalantota - Sigiriya</t>
  </si>
  <si>
    <t>Ambalantota - Yala Park</t>
  </si>
  <si>
    <t>Sri Lanka, Anuradhapura</t>
  </si>
  <si>
    <t>Anuradhapura - Colombo Transfer</t>
  </si>
  <si>
    <t>Anuradhapura - Fort Railway Station</t>
  </si>
  <si>
    <t>Anuradhapura - Dambulla</t>
  </si>
  <si>
    <t>Sri Lanka, Habarana</t>
  </si>
  <si>
    <t>Anuradhapura - Habarana</t>
  </si>
  <si>
    <t>Sri Lanka, Jaffna</t>
  </si>
  <si>
    <t>Anuradhapura - Jaffna</t>
  </si>
  <si>
    <t>Sri Lanka, Trincomalee</t>
  </si>
  <si>
    <t>Anuradhapura - Trincomalee</t>
  </si>
  <si>
    <t>Sri Lanka, Balapitiya</t>
  </si>
  <si>
    <t>Balapitiya - Colombo</t>
  </si>
  <si>
    <t>Balapitiya - Ella</t>
  </si>
  <si>
    <t>Balapitiya - Negombo</t>
  </si>
  <si>
    <t>Balapitiya - Tissamaharama</t>
  </si>
  <si>
    <t>Balapitiya - Yala Park</t>
  </si>
  <si>
    <t>Sri Lanka, Bentota</t>
  </si>
  <si>
    <t>Bentota - Colombo</t>
  </si>
  <si>
    <t>Bentota - Katunayake</t>
  </si>
  <si>
    <t>Bentota - Ella</t>
  </si>
  <si>
    <t>Bentota - Tissamaharama</t>
  </si>
  <si>
    <t>Sri Lanka, Beruwala</t>
  </si>
  <si>
    <t>Beruwala - Colombo</t>
  </si>
  <si>
    <t>Beruwala - Katunayake</t>
  </si>
  <si>
    <t>Beruwala - Ella</t>
  </si>
  <si>
    <t>Beruwala - Negombo</t>
  </si>
  <si>
    <t>Beruwala - Tissamaharama</t>
  </si>
  <si>
    <t>Beruwala - Yala Park</t>
  </si>
  <si>
    <t>Sri Lanka, Bundala</t>
  </si>
  <si>
    <t>Bundala - Ella</t>
  </si>
  <si>
    <t>Colombo - Ahangama</t>
  </si>
  <si>
    <t>Colombo - Aluthgama</t>
  </si>
  <si>
    <t>Colombo - Ambalangoda</t>
  </si>
  <si>
    <t>Colombo - Ambalantota</t>
  </si>
  <si>
    <t>Colombo - Balapitiya</t>
  </si>
  <si>
    <t>Sri Lanka, Batticaloa</t>
  </si>
  <si>
    <t>Colombo - Batticaloa</t>
  </si>
  <si>
    <t>Colombo - Beruwala</t>
  </si>
  <si>
    <t>Colombo - Bundala</t>
  </si>
  <si>
    <t>Colombo - Katunayake</t>
  </si>
  <si>
    <t>Colombo - Dambulla</t>
  </si>
  <si>
    <t>Sri Lanka, Dikwella</t>
  </si>
  <si>
    <t>Colombo - Dikwella</t>
  </si>
  <si>
    <t>Colombo - Ella</t>
  </si>
  <si>
    <t>Sri Lanka, Galle</t>
  </si>
  <si>
    <t>Colombo - Talpe</t>
  </si>
  <si>
    <t>Colombo - Habarana</t>
  </si>
  <si>
    <t>Sri Lanka, Hambantota</t>
  </si>
  <si>
    <t>Colombo - Hambantota</t>
  </si>
  <si>
    <t>Sri Lanka, Hatton</t>
  </si>
  <si>
    <t>Colombo - Hatton</t>
  </si>
  <si>
    <t>Sri Lanka, Induruwa</t>
  </si>
  <si>
    <t>Colombo - Induruwa</t>
  </si>
  <si>
    <t>Colombo - Jaffna</t>
  </si>
  <si>
    <t>Sri Lanka, Kalutara</t>
  </si>
  <si>
    <t>Colombo - Kalutara</t>
  </si>
  <si>
    <t>Sri Lanka, Kataragama</t>
  </si>
  <si>
    <t>Colombo - Kataragama</t>
  </si>
  <si>
    <t>Sri Lanka, Kosgoda</t>
  </si>
  <si>
    <t>Colombo - Kosgoda</t>
  </si>
  <si>
    <t>Sri Lanka, Matara</t>
  </si>
  <si>
    <t>Colombo - Matara</t>
  </si>
  <si>
    <t>Sri Lanka, Nanu Oya</t>
  </si>
  <si>
    <t>Colombo - Nanu Oya Train Station</t>
  </si>
  <si>
    <t>Colombo - Negombo</t>
  </si>
  <si>
    <t>Colombo - Nuwara Eliya</t>
  </si>
  <si>
    <t>Sri Lanka, Tangalle</t>
  </si>
  <si>
    <t>Colombo - Tangalle</t>
  </si>
  <si>
    <t>Colombo - Tissamaharama</t>
  </si>
  <si>
    <t>Colombo - Trincomalee</t>
  </si>
  <si>
    <t>Sri Lanka, Udawalawe Safari Park</t>
  </si>
  <si>
    <t>Colombo - Udawalawa</t>
  </si>
  <si>
    <t>Sri Lanka, Unawatuna</t>
  </si>
  <si>
    <t>Colombo - Unawatuna</t>
  </si>
  <si>
    <t>Sri Lanka, Wadduwa</t>
  </si>
  <si>
    <t>Colombo - Waskaduwa</t>
  </si>
  <si>
    <t>Sri Lanka, Avissawella</t>
  </si>
  <si>
    <t>Bandaranaike Airport - Avissawella</t>
  </si>
  <si>
    <t>Bandaranaike Airport - Bundala</t>
  </si>
  <si>
    <t>Bandaranaike Airport - Fort Railway Station</t>
  </si>
  <si>
    <t>Bandaranaike Airport - Dikwella</t>
  </si>
  <si>
    <t>Bandaranaike Airport - Induruwa</t>
  </si>
  <si>
    <t>Bandaranaike Airport - Kataragama</t>
  </si>
  <si>
    <t>Bandaranaike Airport - Waikkal</t>
  </si>
  <si>
    <t>Sri Lanka, Pasyala</t>
  </si>
  <si>
    <t>Bandaranaike Airport - Pasyala</t>
  </si>
  <si>
    <t>Sri Lanka, Puttalam</t>
  </si>
  <si>
    <t>Bandaranaike Airport - Marawila</t>
  </si>
  <si>
    <t>Bandaranaike Airport - Udawalawa</t>
  </si>
  <si>
    <t>Dambulla - Aluthgama</t>
  </si>
  <si>
    <t>Dambulla - Yala Park</t>
  </si>
  <si>
    <t>Dikwella - Ella</t>
  </si>
  <si>
    <t>Dikwella - Negombo</t>
  </si>
  <si>
    <t>Ella - Ahangama</t>
  </si>
  <si>
    <t>Ella - Ahungalla</t>
  </si>
  <si>
    <t>Ella - Ambalangoda</t>
  </si>
  <si>
    <t>Ella - Ambalantota</t>
  </si>
  <si>
    <t>Sri Lanka, Badulla</t>
  </si>
  <si>
    <t>Ella - Badulla</t>
  </si>
  <si>
    <t>Ella - Balapitiya</t>
  </si>
  <si>
    <t>Ella - Bandaranaike Airport</t>
  </si>
  <si>
    <t>Ella - Koggala</t>
  </si>
  <si>
    <t>Ella - Talpe</t>
  </si>
  <si>
    <t>Ella - Hambantota</t>
  </si>
  <si>
    <t>Sri Lanka, Haputale</t>
  </si>
  <si>
    <t>Ella - Haputale</t>
  </si>
  <si>
    <t>Sri Lanka, Hikkaduwa</t>
  </si>
  <si>
    <t>Ella - Hikkaduwa</t>
  </si>
  <si>
    <t>Ella - Kalutara</t>
  </si>
  <si>
    <t>Ella - Kosgoda</t>
  </si>
  <si>
    <t>Ella - Matara</t>
  </si>
  <si>
    <t>Sri Lanka, Mirissa</t>
  </si>
  <si>
    <t>Ella - Mirissa</t>
  </si>
  <si>
    <t>Ella - Unawatuna</t>
  </si>
  <si>
    <t>Ella - Wadduwa</t>
  </si>
  <si>
    <t>Ella - Waskaduwa</t>
  </si>
  <si>
    <t>Koggala - Colombo</t>
  </si>
  <si>
    <t>Talpe - Colombo</t>
  </si>
  <si>
    <t>Talpe - Bandaranaike Airport</t>
  </si>
  <si>
    <t>Galle - Dambulla</t>
  </si>
  <si>
    <t>Galle - Ella</t>
  </si>
  <si>
    <t>Koggala - Ella</t>
  </si>
  <si>
    <t>Talpe - Ella</t>
  </si>
  <si>
    <t>Galle - Negombo</t>
  </si>
  <si>
    <t>Koggala - Negombo</t>
  </si>
  <si>
    <t>Talpe - Negombo</t>
  </si>
  <si>
    <t>Galle - Tissamaharama</t>
  </si>
  <si>
    <t>Galle - Yala Park</t>
  </si>
  <si>
    <t>Koggala - Yala Park</t>
  </si>
  <si>
    <t>Talpe - Yala Park</t>
  </si>
  <si>
    <t>Habarana - Trincomalee</t>
  </si>
  <si>
    <t>Hambantota - Colombo</t>
  </si>
  <si>
    <t>Hambantota - Bandaranaike Airport</t>
  </si>
  <si>
    <t>Hambantota - Dambulla</t>
  </si>
  <si>
    <t>Hambantota - Kandy</t>
  </si>
  <si>
    <t>Hambantota - Negombo</t>
  </si>
  <si>
    <t>Hambantota - Nuwara Eliya</t>
  </si>
  <si>
    <t>Hambantota - Sigiriya</t>
  </si>
  <si>
    <t>Hatton - Ella</t>
  </si>
  <si>
    <t>Hikkaduwa - Colombo</t>
  </si>
  <si>
    <t>Hikkaduwa - Ella</t>
  </si>
  <si>
    <t>Hikkaduwa - Galle</t>
  </si>
  <si>
    <t>Hikkaduwa - Mirissa</t>
  </si>
  <si>
    <t>Hikkaduwa - Yala Park</t>
  </si>
  <si>
    <t>Induruwa - Colombo</t>
  </si>
  <si>
    <t>Induruwa - Ella</t>
  </si>
  <si>
    <t>Induruwa - Negombo</t>
  </si>
  <si>
    <t>Kalutara - Colombo</t>
  </si>
  <si>
    <t>Kalutara - Katunayake</t>
  </si>
  <si>
    <t>Kalutara - Ella</t>
  </si>
  <si>
    <t>Kalutara - Negombo</t>
  </si>
  <si>
    <t>Kalutara - Yala Park</t>
  </si>
  <si>
    <t>Sri Lanka, Kandawala</t>
  </si>
  <si>
    <t>Kandawala - Kataragama</t>
  </si>
  <si>
    <t>Kandy - Aluthgama</t>
  </si>
  <si>
    <t>Kandy - Dambulla</t>
  </si>
  <si>
    <t>Kandy - Habarana</t>
  </si>
  <si>
    <t>Kandy - Yala Park</t>
  </si>
  <si>
    <t>Kandy - Trincomalee</t>
  </si>
  <si>
    <t>Kataragama - Ella</t>
  </si>
  <si>
    <t>Kataragama - Negombo</t>
  </si>
  <si>
    <t>Kosgoda - Colombo</t>
  </si>
  <si>
    <t>Kosgoda - Ella</t>
  </si>
  <si>
    <t>Kosgoda - Negombo</t>
  </si>
  <si>
    <t>Kosgoda - Tissamaharama</t>
  </si>
  <si>
    <t>Kosgoda - Yala Park</t>
  </si>
  <si>
    <t>Weligama - Colombo</t>
  </si>
  <si>
    <t>Weligama - Dambulla</t>
  </si>
  <si>
    <t>Weligama - Kandy</t>
  </si>
  <si>
    <t>Matara - Negombo</t>
  </si>
  <si>
    <t>Weligama - Negombo</t>
  </si>
  <si>
    <t>Weligama - Nuwara Eliya</t>
  </si>
  <si>
    <t>Weligama - Sigiriya</t>
  </si>
  <si>
    <t>Weligama - Tissamaharama</t>
  </si>
  <si>
    <t>Weligama - Yala Park</t>
  </si>
  <si>
    <t>Mirissa - Bandaranaike Airport</t>
  </si>
  <si>
    <t>Mirissa - Katunayake</t>
  </si>
  <si>
    <t>Mirissa - Ella</t>
  </si>
  <si>
    <t>Mirissa - Yala Park</t>
  </si>
  <si>
    <t>Negombo - Ahangama</t>
  </si>
  <si>
    <t>Negombo - Aluthgama</t>
  </si>
  <si>
    <t>Negombo - Ambalangoda</t>
  </si>
  <si>
    <t>Negombo - Ambalantota</t>
  </si>
  <si>
    <t>Negombo - Balapitiya</t>
  </si>
  <si>
    <t>Negombo - Beruwala</t>
  </si>
  <si>
    <t>Negombo Transfer - Bandaranaike Airport</t>
  </si>
  <si>
    <t>Negombo - Dikwella</t>
  </si>
  <si>
    <t>Negombo Transfer - Ella</t>
  </si>
  <si>
    <t>Negombo - Koggala</t>
  </si>
  <si>
    <t>Negombo - Talpe</t>
  </si>
  <si>
    <t>Negombo - Hambantota</t>
  </si>
  <si>
    <t>Negombo - Haputale</t>
  </si>
  <si>
    <t>Negombo - Induruwa</t>
  </si>
  <si>
    <t>Negombo - Kalutara</t>
  </si>
  <si>
    <t>Negombo - Kataragama</t>
  </si>
  <si>
    <t>Negombo - Kosgoda</t>
  </si>
  <si>
    <t>Sri Lanka, Kurunegala</t>
  </si>
  <si>
    <t>Negombo - Kurunegala</t>
  </si>
  <si>
    <t>Negombo - Matara</t>
  </si>
  <si>
    <t>Negombo - Weligama</t>
  </si>
  <si>
    <t>Negombo - Nuwara Eliya</t>
  </si>
  <si>
    <t>Sri Lanka, Pahala Maragahawewa</t>
  </si>
  <si>
    <t>Negombo - Pahala Maragahawewa</t>
  </si>
  <si>
    <t>Negombo - Tissamaharama</t>
  </si>
  <si>
    <t>Negombo - Yala Park</t>
  </si>
  <si>
    <t>Negombo - Udawalawa</t>
  </si>
  <si>
    <t>Negombo - Unawatuna</t>
  </si>
  <si>
    <t>Negombo - Wadduwa</t>
  </si>
  <si>
    <t>Negombo - Waskaduwa</t>
  </si>
  <si>
    <t>Sri Lanka, Nilaveli</t>
  </si>
  <si>
    <t>Nilaveli - Kandy</t>
  </si>
  <si>
    <t>Nuwara Eliya - Aluthgama</t>
  </si>
  <si>
    <t>Nuwara Eliya - Bentota</t>
  </si>
  <si>
    <t>Nuwara Eliya - Yala Park</t>
  </si>
  <si>
    <t>Sigiriya - Ahangama</t>
  </si>
  <si>
    <t>Sigiriya - Aluthgama</t>
  </si>
  <si>
    <t>Sigiriya - Colombo</t>
  </si>
  <si>
    <t>Sigiriya - Nuwara Eliya</t>
  </si>
  <si>
    <t>Sigiriya - Yala Park</t>
  </si>
  <si>
    <t>Tissamaharama - Colombo</t>
  </si>
  <si>
    <t>Tissamaharama - Bandaranaike Airport</t>
  </si>
  <si>
    <t>Yala Park - Dambulla</t>
  </si>
  <si>
    <t>Tissamaharama - Galle</t>
  </si>
  <si>
    <t>Tissamaharama - Hikkaduwa</t>
  </si>
  <si>
    <t>Yala Park - Kandy</t>
  </si>
  <si>
    <t>Tissamaharama - Negombo</t>
  </si>
  <si>
    <t>Yala Park - Negombo</t>
  </si>
  <si>
    <t>Yala Park - Nuwara Eliya</t>
  </si>
  <si>
    <t>Yala Park - Sigiriya</t>
  </si>
  <si>
    <t>Tissamaharama - Unawatuna</t>
  </si>
  <si>
    <t>Udawalawa - Negombo</t>
  </si>
  <si>
    <t>Unawatuna - Dambulla</t>
  </si>
  <si>
    <t>Unawatuna - Ella</t>
  </si>
  <si>
    <t>Unawatuna - Kandy</t>
  </si>
  <si>
    <t>Unawatuna - Nuwara Eliya</t>
  </si>
  <si>
    <t>Unawatuna - Sigiriya</t>
  </si>
  <si>
    <t>Unawatuna - Tissamaharama</t>
  </si>
  <si>
    <t>Unawatuna - Yala Park</t>
  </si>
  <si>
    <t>Wadduwa - Colombo</t>
  </si>
  <si>
    <t>Waskaduwa - Colombo</t>
  </si>
  <si>
    <t>Waskaduwa - Katunayake</t>
  </si>
  <si>
    <t>Wadduwa - Dambulla</t>
  </si>
  <si>
    <t>Waskaduwa - Dambulla</t>
  </si>
  <si>
    <t>Wadduwa - Ella</t>
  </si>
  <si>
    <t>Waskaduwa - Ella</t>
  </si>
  <si>
    <t>Wadduwa - Kandy</t>
  </si>
  <si>
    <t>Waskaduwa - Kandy</t>
  </si>
  <si>
    <t>Wadduwa - Negombo</t>
  </si>
  <si>
    <t>Waskaduwa - Negombo</t>
  </si>
  <si>
    <t>Wadduwa - Nuwara Eliya</t>
  </si>
  <si>
    <t>Waskaduwa - Nuwara Eliya</t>
  </si>
  <si>
    <t>Wadduwa - Sigiriya</t>
  </si>
  <si>
    <t>Waskaduwa - Sigiriya</t>
  </si>
  <si>
    <t>Wadduwa - Tissamaharama</t>
  </si>
  <si>
    <t>Wadduwa - Yala Park</t>
  </si>
  <si>
    <t>Waskaduwa - Tissamaharama</t>
  </si>
  <si>
    <t>Waskaduwa - Yala Park</t>
  </si>
  <si>
    <t>Taiwan, Changhua</t>
  </si>
  <si>
    <t>Changhua - New Taipei</t>
  </si>
  <si>
    <t>Taiwan, Tainan</t>
  </si>
  <si>
    <t>Tainan - New Taipei</t>
  </si>
  <si>
    <t>Taiwan, Yuanlin</t>
  </si>
  <si>
    <t>Taiwan, Taichung</t>
  </si>
  <si>
    <t>Yuanlin - Taichung</t>
  </si>
  <si>
    <t>Yuanlin - Zhubei</t>
  </si>
  <si>
    <t>Taiwan, Yunlin</t>
  </si>
  <si>
    <t>Yunlin - New Taipei</t>
  </si>
  <si>
    <t>Tanzania, Zanzibar</t>
  </si>
  <si>
    <t>Zanzibar Airport - Dubai International Airport</t>
  </si>
  <si>
    <t>Thailand, Ao Nang</t>
  </si>
  <si>
    <t>Ao Nang Transfer - Bangkok Transfer</t>
  </si>
  <si>
    <t>Thailand, Koh Lipe</t>
  </si>
  <si>
    <t>Ao Nang - Koh Lipe Walking Street</t>
  </si>
  <si>
    <t>van | Van + Speedboat</t>
  </si>
  <si>
    <t>Thailand, Koh Phangan</t>
  </si>
  <si>
    <t>Ao Nang McDonalds - Thong Sala Koh Phangan</t>
  </si>
  <si>
    <t>van | Van + Ferry</t>
  </si>
  <si>
    <t>Thailand, Koh Samui</t>
  </si>
  <si>
    <t>Ao Nang McDonalds - Na Thon Seatran Ferry Pier</t>
  </si>
  <si>
    <t>Thailand, Krabi</t>
  </si>
  <si>
    <t>Ao Nang - Krabi Town</t>
  </si>
  <si>
    <t>Thailand, Phuket</t>
  </si>
  <si>
    <t>Ao Nang Transfer except Krabi Town and Railay - Phuket Airport</t>
  </si>
  <si>
    <t>Ao Nang Transfer except Krabi Town and Railay - Phuket Hotel Transfer</t>
  </si>
  <si>
    <t>Thailand, Satun</t>
  </si>
  <si>
    <t>Ao Nang - Koh Bulone School Beach</t>
  </si>
  <si>
    <t>Thailand, Surat Thani Town</t>
  </si>
  <si>
    <t>Ao Nang McDonalds - Surat Thani Town</t>
  </si>
  <si>
    <t>van | Van</t>
  </si>
  <si>
    <t>Thailand, Suvarnabhumi Airport</t>
  </si>
  <si>
    <t>Ao Nang Transfer - Suvarnabhumi Airport</t>
  </si>
  <si>
    <t>Thailand, Ao Phang Nga National Park</t>
  </si>
  <si>
    <t>Ao Phang Nga National Park - Bandar Sunway</t>
  </si>
  <si>
    <t>Thailand, Ban Phe Pier</t>
  </si>
  <si>
    <t>Ao Phang Nga National Park - Ban Phe Pier</t>
  </si>
  <si>
    <t>Ao Phang Nga National Park - Hat Yai</t>
  </si>
  <si>
    <t>Thailand, Ayutthaya</t>
  </si>
  <si>
    <t>Ayutthaya Hotel Transfer - Bangkok Transfer</t>
  </si>
  <si>
    <t>Thailand, Roi Et</t>
  </si>
  <si>
    <t>Ayutthaya - Roi Et</t>
  </si>
  <si>
    <t>Ayutthaya Hotel Transfer - Suvarnabhumi Airport</t>
  </si>
  <si>
    <t>Bangkok Em Samang - Siem Reap</t>
  </si>
  <si>
    <t>Bangkok Transfer - Ao Nang Transfer</t>
  </si>
  <si>
    <t>Bangkok Transfer - Ayutthaya Hotel Transfer</t>
  </si>
  <si>
    <t>Bangkok - Tha Ruea</t>
  </si>
  <si>
    <t>Thailand, Buriram</t>
  </si>
  <si>
    <t>Bangkok Transfer - Buriram Hotel Transfer</t>
  </si>
  <si>
    <t>Bangkok Transfer - Chanthaburi Transfer</t>
  </si>
  <si>
    <t>Thailand, Chiang Mai</t>
  </si>
  <si>
    <t>Bangkok Transfer - Chiang Mai Town Hotel Transfer</t>
  </si>
  <si>
    <t>Thailand, Chiang Rai</t>
  </si>
  <si>
    <t>Bangkok Transfer - Chiang Rai Hotel Transfer</t>
  </si>
  <si>
    <t>Thailand, Chonburi</t>
  </si>
  <si>
    <t>Bangkok Transfer - Chonburi Hotel Transfer</t>
  </si>
  <si>
    <t>Thailand, Chumphon</t>
  </si>
  <si>
    <t>Bangkok Transfer - Chumphon Hotel Transfer</t>
  </si>
  <si>
    <t>Bangkok Transfer - Don Mueang Airport</t>
  </si>
  <si>
    <t>Thailand, Hua Hin</t>
  </si>
  <si>
    <t>Bangkok Transfer - Hua Hin Hotel Transfer</t>
  </si>
  <si>
    <t>Thailand, Kanchanaburi</t>
  </si>
  <si>
    <t>Bangkok Transfer - Kanchanaburi Hotel Transfer</t>
  </si>
  <si>
    <t>Thailand, Khao Yai National Park</t>
  </si>
  <si>
    <t>Bangkok Transfer - Khao Yai National Park</t>
  </si>
  <si>
    <t>Bangkok Transfer - Khon Kaen Hotel Transfer</t>
  </si>
  <si>
    <t>Thailand, Koh Chang</t>
  </si>
  <si>
    <t>Bangkok Transfer - Koh Chang Transfer</t>
  </si>
  <si>
    <t>van | Van 34pax</t>
  </si>
  <si>
    <t>Thailand, Koh Kood</t>
  </si>
  <si>
    <t>Khao San Boonsiri - Koh Kood Transfer</t>
  </si>
  <si>
    <t>ferry | Express</t>
  </si>
  <si>
    <t>Thailand, Koh Mak</t>
  </si>
  <si>
    <t>Khao San Boonsiri - Koh Mak Ao Nid</t>
  </si>
  <si>
    <t>bus | Bus + Ferry</t>
  </si>
  <si>
    <t>Bangkok Transfer - Krabi Town Transfer</t>
  </si>
  <si>
    <t>Thailand, Lamnam Kra Buri National Park</t>
  </si>
  <si>
    <t>Bangkok - Lamnam Kra Buri National Park</t>
  </si>
  <si>
    <t>Thailand, Mae Sot</t>
  </si>
  <si>
    <t>Bangkok Transfer - Mae Sot Transfer</t>
  </si>
  <si>
    <t>Thailand, Nakhon Ratchasima</t>
  </si>
  <si>
    <t>Bangkok Transfer - Nakhon Ratchasima</t>
  </si>
  <si>
    <t>Bangkok Transfer - Nong Khai Hotel Transfer</t>
  </si>
  <si>
    <t>Thailand, Pai</t>
  </si>
  <si>
    <t>Bangkok Transfer - Pai</t>
  </si>
  <si>
    <t>Bangkok Transfer - Pattaya Hotel Transfer</t>
  </si>
  <si>
    <t>Thailand, Phang Nga</t>
  </si>
  <si>
    <t>Bangkok Transfer - Phang Nga Hotel Transfer</t>
  </si>
  <si>
    <t>Thailand, Phetchaburi</t>
  </si>
  <si>
    <t>Bangkok Transfer - Cha Am</t>
  </si>
  <si>
    <t>Bangkok Transfer - Phuket Hotel Transfer</t>
  </si>
  <si>
    <t>Thailand, Ranong</t>
  </si>
  <si>
    <t>Bangkok Transfer - Ranong Hotel Transfer</t>
  </si>
  <si>
    <t>Thailand, Rayong</t>
  </si>
  <si>
    <t>Bangkok Transfer - Rayong Town Hotel Transfer</t>
  </si>
  <si>
    <t>Thailand, Sa Kaeo</t>
  </si>
  <si>
    <t>Bangkok Transfer - Sa Kaeo Hotel Transfer</t>
  </si>
  <si>
    <t>Thailand, Samut Songkhram</t>
  </si>
  <si>
    <t>Bangkok Transfer - Amphawa Floating Market</t>
  </si>
  <si>
    <t>bus | Bus 27pax</t>
  </si>
  <si>
    <t>bus | Bus 35pax</t>
  </si>
  <si>
    <t>Thailand, Surat Thani</t>
  </si>
  <si>
    <t>Bangkok Transfer - Surat Thani</t>
  </si>
  <si>
    <t>Bangkok Hotel Transfer - Suvarnabhumi Airport</t>
  </si>
  <si>
    <t>Bangkok Transfer - Suvarnabhumi Airport</t>
  </si>
  <si>
    <t>Bangkok Transfer - Ao Thammachat pier</t>
  </si>
  <si>
    <t>Bangkok Transfer - Laem Sok Pier</t>
  </si>
  <si>
    <t>Bangkok Transfer - Udon Thani Transfer</t>
  </si>
  <si>
    <t>Buriram Hotel Transfer - Bangkok Transfer</t>
  </si>
  <si>
    <t>Buriram Hotel Transfer - Suvarnabhumi Airport</t>
  </si>
  <si>
    <t>Chanthaburi Transfer - Bangkok Transfer</t>
  </si>
  <si>
    <t>Chanthaburi Transfer - Suvarnabhumi Airport</t>
  </si>
  <si>
    <t>Chiang Mai Town Hotel Transfer - Bangkok Transfer</t>
  </si>
  <si>
    <t>Chiang Mai Airport - Chiang Mai City Transfer</t>
  </si>
  <si>
    <t>charter | SUV 5pax</t>
  </si>
  <si>
    <t>Chiang Mai Airport - Chiang Mai Old City Transfer</t>
  </si>
  <si>
    <t>Chiang Mai City Transfer - Chiang Mai Airport</t>
  </si>
  <si>
    <t>Chiang Mai City Transfer - Chiang Mai Night Safari</t>
  </si>
  <si>
    <t>Chiang Mai City Transfer - Chiang Mai Zoo</t>
  </si>
  <si>
    <t>Chiang Mai City Transfer - Doi Ang Khang</t>
  </si>
  <si>
    <t>Chiang Mai City Transfer - Doi Inthanon</t>
  </si>
  <si>
    <t>Chiang Mai City Transfer - Doi Suthep</t>
  </si>
  <si>
    <t>Chiang Mai City Transfer - Elephant Safari</t>
  </si>
  <si>
    <t>Chiang Mai City Transfer - Sankhampang Hotel Transfer</t>
  </si>
  <si>
    <t>Chiang Mai City Transfer - Sticky Waterfall</t>
  </si>
  <si>
    <t>Chiang Mai City Transfer - Tube Trek Waterpark</t>
  </si>
  <si>
    <t>Chiang Mai City Transfer - Wat Ban Den</t>
  </si>
  <si>
    <t>Chiang Mai City Transfer - Wat Tham Chiang Dao</t>
  </si>
  <si>
    <t>Chiang Mai Old City Transfer - Chiang Mai Airport</t>
  </si>
  <si>
    <t>Mae Sa Elephant Camp - Talad Warorot</t>
  </si>
  <si>
    <t>van | Regional 14pax</t>
  </si>
  <si>
    <t>Mae Sa Waterfall - Pong Yaeng Jungle</t>
  </si>
  <si>
    <t>Mae Sa Waterfall - Talad Warorot</t>
  </si>
  <si>
    <t>Pong Yaeng Jungle - Talad Warorot</t>
  </si>
  <si>
    <t>Queen Sirikit Botanic Garden - Talad Warorot</t>
  </si>
  <si>
    <t>Talad Warorot - Mae Sa Elephant Camp</t>
  </si>
  <si>
    <t>Tiger Kingdom - Talad Warorot</t>
  </si>
  <si>
    <t>Chiang Mai City Transfer - Chiang Rai Transfer</t>
  </si>
  <si>
    <t>Chiang Mai Town Hotel Transfer - Chiang Khong Transfer</t>
  </si>
  <si>
    <t>charter | Luxury SUV 4pax</t>
  </si>
  <si>
    <t>charter | Luxury VIP Van 9pax</t>
  </si>
  <si>
    <t>Thailand, Lampang</t>
  </si>
  <si>
    <t>Chiang Mai City Transfer - Lampang Hotel Transfer</t>
  </si>
  <si>
    <t>Thailand, Mae Sai</t>
  </si>
  <si>
    <t>Chiang Mai City Transfer - Mae Sai</t>
  </si>
  <si>
    <t>Thailand, Nan</t>
  </si>
  <si>
    <t>Chiang Mai City Transfer - Nan Hotel Transfer</t>
  </si>
  <si>
    <t>Chiang Mai City Transfer - Pai Hotel Transfer</t>
  </si>
  <si>
    <t>Chiang Mai Transfer - Pai Hotel Transfer</t>
  </si>
  <si>
    <t>van | Van 8pax</t>
  </si>
  <si>
    <t>Thailand, Phayao</t>
  </si>
  <si>
    <t>Chiang Mai City Transfer - Phayao Hotel Transfer</t>
  </si>
  <si>
    <t>Thailand, Sukhothai</t>
  </si>
  <si>
    <t>Chiang Mai City Transfer - Sukhothai Hotel Transfer</t>
  </si>
  <si>
    <t>Chiang Mai Town Hotel Transfer - Suvarnabhumi Airport</t>
  </si>
  <si>
    <t>Chiang Rai Hotel Transfer - Bangkok Transfer</t>
  </si>
  <si>
    <t>Chiang Khong - Chiang Mai Airport</t>
  </si>
  <si>
    <t>Chiang Khong - Chiang Mai City Transfer</t>
  </si>
  <si>
    <t>Chiang Khong Transfer - Chiang Mai Town Hotel Transfer</t>
  </si>
  <si>
    <t>Chiang Rai Transfer - Chiang Mai Airport</t>
  </si>
  <si>
    <t>Chiang Rai Transfer - Chiang Mai City Transfer</t>
  </si>
  <si>
    <t>Golden Triangle - Chiang Mai Airport</t>
  </si>
  <si>
    <t>Golden Triangle - Chiang Mai City Transfer</t>
  </si>
  <si>
    <t>Chiang Khong - Chiang Rai Airport</t>
  </si>
  <si>
    <t>Chiang Khong - Chiang Rai Transfer</t>
  </si>
  <si>
    <t>Chiang Khong Transfer - Chiang Rai Hotel Transfer</t>
  </si>
  <si>
    <t>Chiang Rai Airport - Chiang Khong</t>
  </si>
  <si>
    <t>Chiang Rai Airport - Chiang Rai Transfer</t>
  </si>
  <si>
    <t>Chiang Rai Airport - Chiang Saen</t>
  </si>
  <si>
    <t>Chiang Rai Airport - Golden Triangle</t>
  </si>
  <si>
    <t>Chiang Rai Hotel Transfer - Chiang Khong Transfer</t>
  </si>
  <si>
    <t>Chiang Rai Transfer - Chiang Rai Airport</t>
  </si>
  <si>
    <t>Chiang Saen - Chiang Rai Airport</t>
  </si>
  <si>
    <t>Chiang Saen - Chiang Rai Transfer</t>
  </si>
  <si>
    <t>Golden Triangle - Chiang Rai Airport</t>
  </si>
  <si>
    <t>Golden Triangle - Chiang Rai Transfer</t>
  </si>
  <si>
    <t>Chiang Rai Airport - Mae Sai</t>
  </si>
  <si>
    <t>Chiang Rai Hotel Transfer - Suvarnabhumi Airport</t>
  </si>
  <si>
    <t>Chonburi Hotel Transfer - Bangkok Transfer</t>
  </si>
  <si>
    <t>Brunei, Brunei</t>
  </si>
  <si>
    <t>Pontaweesin Pier - Bandar Seri Begawan Airport</t>
  </si>
  <si>
    <t>ferry | Sleeper Boat</t>
  </si>
  <si>
    <t>Chumphon Hotel Transfer - Bangkok Transfer</t>
  </si>
  <si>
    <t>Thailand, Koh Tao</t>
  </si>
  <si>
    <t>Axara Tour office - Mae Haad Koh Tao</t>
  </si>
  <si>
    <t>ferry | Sleeper Boat + Van</t>
  </si>
  <si>
    <t>Pontaweesin Pier - Mae Haad Koh Tao</t>
  </si>
  <si>
    <t>Chumphon Hotel Transfer - Phuket Airport</t>
  </si>
  <si>
    <t>Rungkit Tour Office Chumphon - Phuket Bus Terminal 2</t>
  </si>
  <si>
    <t>bus | Bus</t>
  </si>
  <si>
    <t>Chumphon Hotel Transfer - Suvarnabhumi Airport</t>
  </si>
  <si>
    <t>Nepal, Nagarkot</t>
  </si>
  <si>
    <t>Don Mueang Airport - Nagarkot</t>
  </si>
  <si>
    <t>Nepal, Panauti</t>
  </si>
  <si>
    <t>Don Mueang Airport - Panauti</t>
  </si>
  <si>
    <t>Don Mueang Airport - Bangkok Transfer</t>
  </si>
  <si>
    <t>Thailand, Donsak</t>
  </si>
  <si>
    <t>Donsak Piers - Ao Nang Transfer except Krabi Town and Railay</t>
  </si>
  <si>
    <t>Donsak Piers - Bangkok Hotel Transfer</t>
  </si>
  <si>
    <t>Donsak Piers - Don Mueang International Airport</t>
  </si>
  <si>
    <t>Donsak Piers - Hat Yai Hotel Transfer</t>
  </si>
  <si>
    <t>Donsak Piers - Kanchanaburi Town excluding River Kwai and Sai Yok</t>
  </si>
  <si>
    <t>Thailand, Khao Lak</t>
  </si>
  <si>
    <t>Donsak Piers - Khao Lak Transfer</t>
  </si>
  <si>
    <t>Thailand, Khao Sok</t>
  </si>
  <si>
    <t>Donsak Piers - Khao Sok Hotel Transfer</t>
  </si>
  <si>
    <t>Thailand, Koh Lanta</t>
  </si>
  <si>
    <t>Donsak Piers - Koh Lanta Hotel Transfer</t>
  </si>
  <si>
    <t>Donsak Piers - Ao Nam Mao Pier</t>
  </si>
  <si>
    <t>Donsak Piers - Klong Jilad Pier</t>
  </si>
  <si>
    <t>Donsak Piers - Krabi Airport</t>
  </si>
  <si>
    <t>Donsak Piers - Krabi Town Transfer</t>
  </si>
  <si>
    <t>Thailand, Nakhon Si Thammarat</t>
  </si>
  <si>
    <t>Donsak Piers - Nakhon Si Thammarat airport</t>
  </si>
  <si>
    <t>Donsak Piers - Pattaya Hotel Transfer</t>
  </si>
  <si>
    <t>Donsak Piers - Phang Nga town</t>
  </si>
  <si>
    <t>Donsak Piers - Cha Am</t>
  </si>
  <si>
    <t>Donsak Piers - Kata Karon Phuket Transfer</t>
  </si>
  <si>
    <t>Donsak Piers - Patong Phuket Hotel Transfer</t>
  </si>
  <si>
    <t>Donsak Piers - Phuket Airport</t>
  </si>
  <si>
    <t>Donsak Piers - Phuket Hotel Transfer</t>
  </si>
  <si>
    <t>Donsak Piers - Phuket Town Hotel Transfer</t>
  </si>
  <si>
    <t>Donsak Piers - Rawai Hotel Transfer</t>
  </si>
  <si>
    <t>Donsak Piers - Pak Bara Pier</t>
  </si>
  <si>
    <t>Donsak Piers - Satun Town Hotel Transfer</t>
  </si>
  <si>
    <t>Donsak Piers - Ratchaprapha Dam</t>
  </si>
  <si>
    <t>Donsak Piers - Surat Thani Airport</t>
  </si>
  <si>
    <t>Donsak Piers - Surat Thani Town Transfer</t>
  </si>
  <si>
    <t>Donsak Piers - Surat Thani train station</t>
  </si>
  <si>
    <t>Donsak Piers - Suvarnabhumi Airport</t>
  </si>
  <si>
    <t>Malaysia, Johor Bahru</t>
  </si>
  <si>
    <t>CP World Tour - Larkin Bus Terminal</t>
  </si>
  <si>
    <t>CP World Tour - Hentian Duta</t>
  </si>
  <si>
    <t>CP World Tour - TBS Kuala Lumpur</t>
  </si>
  <si>
    <t>Malaysia, Perak</t>
  </si>
  <si>
    <t>CP World Tour - Starmart Jalan Simpang</t>
  </si>
  <si>
    <t>Singapore, Singapore</t>
  </si>
  <si>
    <t>CP World Tour - Golden Mile Tower</t>
  </si>
  <si>
    <t>Hat Yai Airport - Koh Lipe Walking Street</t>
  </si>
  <si>
    <t>Hat Yai Hotel Transfer - Koh Lipe Walking Street</t>
  </si>
  <si>
    <t>ferry | Taxi + Speedboat</t>
  </si>
  <si>
    <t>Thailand, Pak Bara</t>
  </si>
  <si>
    <t>Hat Yai Airport - Pak Bara Pier</t>
  </si>
  <si>
    <t>Hat Yai Hotel Transfer - Phuket Hotel Transfer</t>
  </si>
  <si>
    <t>Hat Yai Airport - Koh Bulone School Beach</t>
  </si>
  <si>
    <t>Hat Yai Hotel Transfer - Koh Bulone School Beach</t>
  </si>
  <si>
    <t>Hat Yai Hotel Transfer - Pak Bara Pier</t>
  </si>
  <si>
    <t>van | Taxi</t>
  </si>
  <si>
    <t>P Plus Express Office - P Plus Express Office</t>
  </si>
  <si>
    <t>Hua Hin Hotel Transfer - Bangkok Transfer</t>
  </si>
  <si>
    <t>Hua Hin Hotel Transfer - Phuket Hotel Transfer</t>
  </si>
  <si>
    <t>Hua Hin Hotel Transfer - Suvarnabhumi Airport</t>
  </si>
  <si>
    <t>Kanchanaburi Hotel Transfer - Bangkok Transfer</t>
  </si>
  <si>
    <t>Kanchanaburi Hotel Transfer - Suvarnabhumi Airport</t>
  </si>
  <si>
    <t>Karon Beach - Phuket Airport</t>
  </si>
  <si>
    <t>Khao Lak Transfer - Phuket Airport</t>
  </si>
  <si>
    <t>Thap Lamu Pier - Phuket Airport</t>
  </si>
  <si>
    <t>Khao Sok Hotel Transfer - Ao Nang Transfer except Krabi Town and Railay</t>
  </si>
  <si>
    <t>Khao Sok Hotel Transfer - Donsak Piers</t>
  </si>
  <si>
    <t>Khao Sok Hotel Transfer - Koh Lanta Hotel Transfer</t>
  </si>
  <si>
    <t>Khao Sok Hotel Transfer - Ao Nam Mao Pier</t>
  </si>
  <si>
    <t>Khao Sok Hotel Transfer - Klong Jilad Pier</t>
  </si>
  <si>
    <t>Khao Sok Hotel Transfer - Krabi Town Transfer</t>
  </si>
  <si>
    <t>Khao Sok Hotel Transfer - Kata Karon Phuket Transfer</t>
  </si>
  <si>
    <t>Khao Sok Hotel Transfer - Patong Phuket Hotel Transfer</t>
  </si>
  <si>
    <t>Khao Sok Hotel Transfer - Phuket Airport</t>
  </si>
  <si>
    <t>Khao Sok Hotel Transfer - Phuket Hotel Transfer</t>
  </si>
  <si>
    <t>Khao Sok Hotel Transfer - Phuket Town Hotel Transfer</t>
  </si>
  <si>
    <t>Khao Sok Hotel Transfer - Rawai Hotel Transfer</t>
  </si>
  <si>
    <t>Khao Yai National Park - Bangkok Transfer</t>
  </si>
  <si>
    <t>Khao Yai National Park - Phuket Hotel Transfer</t>
  </si>
  <si>
    <t>Khao Yai National Park - Suvarnabhumi Airport</t>
  </si>
  <si>
    <t>Khon Kaen Hotel Transfer - Bangkok Transfer</t>
  </si>
  <si>
    <t>Khon Kaen Hotel Transfer - Suvarnabhumi Airport</t>
  </si>
  <si>
    <t>Thailand, Khuan Don</t>
  </si>
  <si>
    <t>Thailand, Nonthaburi</t>
  </si>
  <si>
    <t>Khuan Don - Nonthaburi</t>
  </si>
  <si>
    <t>Khuan Don - Rangsit</t>
  </si>
  <si>
    <t>Koh Chang Transfer - Bangkok Transfer</t>
  </si>
  <si>
    <t>Koh Kood Transfer - Khao San Boonsiri</t>
  </si>
  <si>
    <t>ferry | Standard</t>
  </si>
  <si>
    <t>Koh Lanta Hotel Transfer - Phuket Airport</t>
  </si>
  <si>
    <t>Koh Lipe Walking Street - Ao Nang</t>
  </si>
  <si>
    <t>ferry | Speedboat + Van</t>
  </si>
  <si>
    <t>Koh Lipe Walking Street - Hat Yai Airport</t>
  </si>
  <si>
    <t>Koh Lipe Walking Street - Hat Yai Transfer</t>
  </si>
  <si>
    <t>ferry | Speedboat + Taxi</t>
  </si>
  <si>
    <t>Koh Lipe Walking Street - Krabi Airport</t>
  </si>
  <si>
    <t>Koh Lipe Walking Street - Krabi Town</t>
  </si>
  <si>
    <t>Koh Lipe Walking Street - Pak Bara Pier</t>
  </si>
  <si>
    <t>Thailand, Trang</t>
  </si>
  <si>
    <t>Koh Lipe Walking Street - Trang Airport</t>
  </si>
  <si>
    <t>Koh Lipe Walking Street - Trang Town</t>
  </si>
  <si>
    <t>Thailand, Koh Phi Phi</t>
  </si>
  <si>
    <t>Ton Sai Pier Koh Phi Phi - KP Office Krabi</t>
  </si>
  <si>
    <t>ferry | Ferry + Van</t>
  </si>
  <si>
    <t>Ton Sai Pier Koh Phi Phi - Phuket Airport</t>
  </si>
  <si>
    <t>Ton Sai Pier Koh Phi Phi - Phuket Transfer</t>
  </si>
  <si>
    <t>Na Thon Pier - Khao San</t>
  </si>
  <si>
    <t>ferry | Ferry + Van + Bus</t>
  </si>
  <si>
    <t>Koh Samui Transfer - Phuket Airport</t>
  </si>
  <si>
    <t>KP Office Krabi - Ao Nang Transfer</t>
  </si>
  <si>
    <t>Krabi Town Transfer - Bangkok Hotel Transfer</t>
  </si>
  <si>
    <t>Krabi Town Transfer - Bangkok Transfer</t>
  </si>
  <si>
    <t>Krabi Town Transfer - Don Mueang International Airport</t>
  </si>
  <si>
    <t>Krabi Town Transfer - Donsak Piers</t>
  </si>
  <si>
    <t>Krabi Town Transfer - Kanchanaburi Town excluding River Kwai and Sai Yok</t>
  </si>
  <si>
    <t>Krabi Town Transfer - Khao Lak Transfer</t>
  </si>
  <si>
    <t>Krabi Town Transfer - Khao Sok Transfer</t>
  </si>
  <si>
    <t>Krabi Airport - Koh Lipe Walking Street</t>
  </si>
  <si>
    <t>Krabi Town - Koh Lipe Walking Street</t>
  </si>
  <si>
    <t>Krabi Town Transfer - Koh Lipe Walking Street</t>
  </si>
  <si>
    <t>KP Office Krabi - Ton Sai Pier Koh Phi Phi</t>
  </si>
  <si>
    <t>Krabi Town Transfer - Pattaya Hotel Transfer</t>
  </si>
  <si>
    <t>Krabi Town Transfer - Cha Am</t>
  </si>
  <si>
    <t>Krabi Town Transfer - Kata Karon Phuket Transfer</t>
  </si>
  <si>
    <t>Krabi Town Transfer - Phuket Airport</t>
  </si>
  <si>
    <t>Krabi Town Transfer - Phuket Town Hotel Transfer</t>
  </si>
  <si>
    <t>Krabi Town Transfer - Rawai Hotel Transfer</t>
  </si>
  <si>
    <t>Krabi Airport - Koh Bulone School Beach</t>
  </si>
  <si>
    <t>Krabi Town - Koh Bulone School Beach</t>
  </si>
  <si>
    <t>Krabi Town Transfer - Night Boat Port</t>
  </si>
  <si>
    <t>Krabi Town Transfer - Ratchaprapha Dam</t>
  </si>
  <si>
    <t>Krabi Town Transfer - Surat Thani Town Transfer</t>
  </si>
  <si>
    <t>Krabi Town Transfer - Surat Thani train station</t>
  </si>
  <si>
    <t>Ao Nam Mao pier - Surat Thani Town</t>
  </si>
  <si>
    <t>Krabi Town Transfer - Suvarnabhumi Airport</t>
  </si>
  <si>
    <t>Lamnam Kra Buri National Park - Bangkok</t>
  </si>
  <si>
    <t>Lampang Hotel Transfer - Chiang Mai Airport</t>
  </si>
  <si>
    <t>Lampang Hotel Transfer - Chiang Mai City Transfer</t>
  </si>
  <si>
    <t>Mae Sai - Chiang Mai Airport</t>
  </si>
  <si>
    <t>Mae Sai - Chiang Mai City Transfer</t>
  </si>
  <si>
    <t>Mae Sai - Chiang Rai Airport</t>
  </si>
  <si>
    <t>Mae Sai - Chiang Rai Transfer</t>
  </si>
  <si>
    <t>Mae Sot Transfer - Bangkok Transfer</t>
  </si>
  <si>
    <t>Mae Sot Transfer - Suvarnabhumi Airport</t>
  </si>
  <si>
    <t>Thailand, Nakhon Pathom</t>
  </si>
  <si>
    <t>Nakhon Pathom - Roi Et</t>
  </si>
  <si>
    <t>Nakhon Pathom - Surat Thani Town</t>
  </si>
  <si>
    <t>Nakhon Ratchasima - Bangkok Transfer</t>
  </si>
  <si>
    <t>Nakhon Ratchasima - Suvarnabhumi Airport</t>
  </si>
  <si>
    <t>Thailand, Nam Nao National Park</t>
  </si>
  <si>
    <t>Nam Nao National Park - Bangkok</t>
  </si>
  <si>
    <t>Nan Hotel Transfer - Chiang Mai Airport</t>
  </si>
  <si>
    <t>Nan Hotel Transfer - Chiang Mai City Transfer</t>
  </si>
  <si>
    <t>Nong Khai Hotel Transfer - Bangkok Transfer</t>
  </si>
  <si>
    <t>Pai - Bangkok Transfer</t>
  </si>
  <si>
    <t>Pai Hotel Transfer - Chiang Mai Airport</t>
  </si>
  <si>
    <t>Pai Hotel Transfer - Chiang Mai City Transfer</t>
  </si>
  <si>
    <t>Pai - Suvarnabhumi Airport</t>
  </si>
  <si>
    <t>Pak Bara Pier - Koh Lipe Walking Street</t>
  </si>
  <si>
    <t>Pak Bara Pier - Koh Bulone School Beach</t>
  </si>
  <si>
    <t>Pattaya Hotel Transfer - Bangkok Transfer</t>
  </si>
  <si>
    <t>Pattaya Boonsiri Office - Koh Mak Ao Nid</t>
  </si>
  <si>
    <t>ferry | Catamaran + Bus</t>
  </si>
  <si>
    <t>Pattaya Hotel Transfer - Phuket Hotel Transfer</t>
  </si>
  <si>
    <t>Pattaya Hotel Transfer - Suvarnabhumi Airport</t>
  </si>
  <si>
    <t>Phang Nga Hotel Transfer - Bangkok Transfer</t>
  </si>
  <si>
    <t>Phang Nga Hotel Transfer - Suvarnabhumi Airport</t>
  </si>
  <si>
    <t>Cha Am - Bangkok Transfer</t>
  </si>
  <si>
    <t>Cha Am - Suvarnabhumi Airport</t>
  </si>
  <si>
    <t>Phuket Airport - Ao Nang Transfer except Krabi Town and Railay</t>
  </si>
  <si>
    <t>Phuket Hotel Transfer - Ao Nang Transfer except Krabi Town and Railay</t>
  </si>
  <si>
    <t>Phuket Hotel Transfer - Bangkok Transfer</t>
  </si>
  <si>
    <t>Phuket Airport - Chumphon Hotel Transfer</t>
  </si>
  <si>
    <t>Phuket Bus Terminal 2 - Rungkit Tour Office Chumphon</t>
  </si>
  <si>
    <t>Phuket Airport - Donsak Piers</t>
  </si>
  <si>
    <t>Phuket Hotel Transfer - Donsak Piers</t>
  </si>
  <si>
    <t>Phuket Hotel Transfer - Hat Yai Hotel Transfer</t>
  </si>
  <si>
    <t>Phuket Hotel Transfer - Hua Hin Hotel Transfer</t>
  </si>
  <si>
    <t>Phuket Airport - Karon Beach</t>
  </si>
  <si>
    <t>Phuket Airport - Khao Lak Transfer</t>
  </si>
  <si>
    <t>Phuket Airport - Thap Lamu Pier</t>
  </si>
  <si>
    <t>Phuket Airport - Khao Sok Hotel Transfer</t>
  </si>
  <si>
    <t>Phuket Hotel Transfer - Khao Sok Hotel Transfer</t>
  </si>
  <si>
    <t>Phuket Hotel Transfer - Khao Yai National Park</t>
  </si>
  <si>
    <t>Phuket Airport - Koh Lanta Hotel Transfer</t>
  </si>
  <si>
    <t>Phuket Airport - Ton Sai Pier Koh Phi Phi</t>
  </si>
  <si>
    <t>Phuket Airport - Koh Samui Transfer</t>
  </si>
  <si>
    <t>Phuket Airport - Krabi Town Transfer</t>
  </si>
  <si>
    <t>Phuket Hotel Transfer - Pattaya Hotel Transfer</t>
  </si>
  <si>
    <t>Bang Rong Pier Phuket - Phuket Airport</t>
  </si>
  <si>
    <t>Kata Beach - Phuket Airport</t>
  </si>
  <si>
    <t>Koh Sire - Phuket Airport</t>
  </si>
  <si>
    <t>Laguna Phuket - Phuket Airport</t>
  </si>
  <si>
    <t>Panwa Transfer - Phuket Airport</t>
  </si>
  <si>
    <t>Patong Phuket Hotel Transfer - Phuket Airport</t>
  </si>
  <si>
    <t>Phuket Airport - Bang Rong Pier Phuket</t>
  </si>
  <si>
    <t>Phuket Airport - Kata Beach</t>
  </si>
  <si>
    <t>Phuket Airport - Koh Sire</t>
  </si>
  <si>
    <t>Phuket Airport - Laguna Phuket</t>
  </si>
  <si>
    <t>Phuket Airport - Panwa Transfer</t>
  </si>
  <si>
    <t>Phuket Airport - Patong Phuket Hotel Transfer</t>
  </si>
  <si>
    <t>Phuket Airport - Phuket Town Hotel Transfer</t>
  </si>
  <si>
    <t>Phuket Airport - Rawai Hotel Transfer</t>
  </si>
  <si>
    <t>Phuket Town Hotel Transfer - Phuket Airport</t>
  </si>
  <si>
    <t>Rawai Hotel Transfer - Phuket Airport</t>
  </si>
  <si>
    <t>Phuket Airport - Ranong Hotel Transfer</t>
  </si>
  <si>
    <t>Phuket Bus Terminal 2 - Rungkit Tour Office Ranong</t>
  </si>
  <si>
    <t>Thailand, Rassada Pier</t>
  </si>
  <si>
    <t>Phuket Airport - Rassada Pier Phuket</t>
  </si>
  <si>
    <t>Phuket Airport - Pak Bara Pier</t>
  </si>
  <si>
    <t>Phuket Airport - Surat Thani Town Transfer</t>
  </si>
  <si>
    <t>Phuket Hotel Transfer - Suvarnabhumi Airport</t>
  </si>
  <si>
    <t>Phuket Hotel Transfer - Trang Hotel Transfer</t>
  </si>
  <si>
    <t>Rangsit - Shaanxi</t>
  </si>
  <si>
    <t>Rangsit - Xian</t>
  </si>
  <si>
    <t>Rangsit - Kalyan</t>
  </si>
  <si>
    <t>Rangsit - Maharashtra</t>
  </si>
  <si>
    <t>Rangsit - Mumbai</t>
  </si>
  <si>
    <t>Rangsit - Nala Sopara</t>
  </si>
  <si>
    <t>India, Nerul</t>
  </si>
  <si>
    <t>Rangsit - Nerul</t>
  </si>
  <si>
    <t>Rangsit - Panvel</t>
  </si>
  <si>
    <t>Rangsit - Thane</t>
  </si>
  <si>
    <t>India, Vashi</t>
  </si>
  <si>
    <t>Rangsit - Vashi</t>
  </si>
  <si>
    <t>Rangsit - Jakarta</t>
  </si>
  <si>
    <t>Rangsit - Jakarta Airport</t>
  </si>
  <si>
    <t>Rangsit - Tangerang</t>
  </si>
  <si>
    <t>Rangsit - Klang</t>
  </si>
  <si>
    <t>Rangsit - Klia</t>
  </si>
  <si>
    <t>Rangsit - Klia Ii</t>
  </si>
  <si>
    <t>Rangsit - Kuala Lumpur Airport</t>
  </si>
  <si>
    <t>Rangsit - Kuala Lumpur Sentral</t>
  </si>
  <si>
    <t>Rangsit - Putrajaya</t>
  </si>
  <si>
    <t>Rangsit - Seremban</t>
  </si>
  <si>
    <t>Nepal, Central</t>
  </si>
  <si>
    <t>Rangsit - Central</t>
  </si>
  <si>
    <t>Nepal, Kathmandu</t>
  </si>
  <si>
    <t>Rangsit - Kathmandu</t>
  </si>
  <si>
    <t>Rangsit - Nagarkot</t>
  </si>
  <si>
    <t>Rangsit - Panauti</t>
  </si>
  <si>
    <t>Rangsit - Hsinchu</t>
  </si>
  <si>
    <t>Rangsit - Jiaoxi</t>
  </si>
  <si>
    <t>Rangsit - Keelung</t>
  </si>
  <si>
    <t>Rangsit - Nangang</t>
  </si>
  <si>
    <t>Rangsit - New Taipei</t>
  </si>
  <si>
    <t>Rangsit - Taipei</t>
  </si>
  <si>
    <t>Rangsit - Taoyuan Airport</t>
  </si>
  <si>
    <t>Rangsit - Taoyuan City</t>
  </si>
  <si>
    <t>Rangsit - Yangmingshan National Park</t>
  </si>
  <si>
    <t>Rangsit - Yilan</t>
  </si>
  <si>
    <t>Rangsit - Zhubei</t>
  </si>
  <si>
    <t>Thailand, Chalong</t>
  </si>
  <si>
    <t>Rangsit - Chalong</t>
  </si>
  <si>
    <t>Thailand, Doi Phu Nang National Park</t>
  </si>
  <si>
    <t>Rangsit - Doi Phu Nang National Park</t>
  </si>
  <si>
    <t>Thailand, Kaeng Tana National Park</t>
  </si>
  <si>
    <t>Rangsit - Kaeng Tana National Park</t>
  </si>
  <si>
    <t>Rangsit - Khuan Don</t>
  </si>
  <si>
    <t>Thailand, Naka Island</t>
  </si>
  <si>
    <t>Rangsit - Naka Island</t>
  </si>
  <si>
    <t>Thailand, Patong</t>
  </si>
  <si>
    <t>Rangsit - Patong</t>
  </si>
  <si>
    <t>Rangsit - Rassada Pier</t>
  </si>
  <si>
    <t>Thailand, Sichon</t>
  </si>
  <si>
    <t>Rangsit - Sichon</t>
  </si>
  <si>
    <t>Thailand, Sirinat National Park</t>
  </si>
  <si>
    <t>Rangsit - Sirinat National Park</t>
  </si>
  <si>
    <t>Ranong Hotel Transfer - Bangkok Transfer</t>
  </si>
  <si>
    <t>Ranong Hotel Transfer - Phuket Airport</t>
  </si>
  <si>
    <t>Rungkit Tour Office Ranong - Phuket Bus Terminal 2</t>
  </si>
  <si>
    <t>Rassada Pier - Ban Phe Pier</t>
  </si>
  <si>
    <t>Rassada Pier Phuket - Phuket Airport</t>
  </si>
  <si>
    <t>Rassada Pier - Rayong</t>
  </si>
  <si>
    <t>Thailand, Sattahip</t>
  </si>
  <si>
    <t>Rassada Pier - Sattahip</t>
  </si>
  <si>
    <t>Thailand, Thale Ban National Park</t>
  </si>
  <si>
    <t>Rassada Pier - Thale Ban National Park</t>
  </si>
  <si>
    <t>Rayong Town Hotel Transfer - Bangkok Transfer</t>
  </si>
  <si>
    <t>Thailand, Surin</t>
  </si>
  <si>
    <t>Rayong - Surin Nca Bus Terminal</t>
  </si>
  <si>
    <t>Sa Kaeo Hotel Transfer - Bangkok Transfer</t>
  </si>
  <si>
    <t>Koh Bulone School Beach - Ao Nang</t>
  </si>
  <si>
    <t>Koh Bulone School Beach - Hat Yai Airport</t>
  </si>
  <si>
    <t>Koh Bulone School Beach - Hat Yai Transfer</t>
  </si>
  <si>
    <t>Koh Bulone School Beach - Krabi Airport</t>
  </si>
  <si>
    <t>Koh Bulone School Beach - Krabi Town</t>
  </si>
  <si>
    <t>Koh Bulone School Beach - Pak Bara Pier</t>
  </si>
  <si>
    <t>Pak Bara Pier - Phuket Airport</t>
  </si>
  <si>
    <t>Koh Bulone School Beach - Trang Airport</t>
  </si>
  <si>
    <t>Koh Bulone School Beach - Trang Town</t>
  </si>
  <si>
    <t>Sukhothai Hotel Transfer - Chiang Mai Airport</t>
  </si>
  <si>
    <t>Sukhothai Hotel Transfer - Chiang Mai City Transfer</t>
  </si>
  <si>
    <t>Surat Thani Town Transfer - Ao Nang Transfer except Krabi Town and Railay</t>
  </si>
  <si>
    <t>Surat Thani Town Transfer - Bangkok Transfer</t>
  </si>
  <si>
    <t>Surat Thani Airport - Donsak Piers</t>
  </si>
  <si>
    <t>Surat Thani Town Transfer - Donsak Piers</t>
  </si>
  <si>
    <t>Thailand, Khanom</t>
  </si>
  <si>
    <t>Surat Thani Airport - Khanom Hotel Transfer</t>
  </si>
  <si>
    <t>Surat Thani Town Transfer - Khanom Hotel Transfer</t>
  </si>
  <si>
    <t>Surat Thani Airport - Khao Lak Transfer</t>
  </si>
  <si>
    <t>Surat Thani Town Transfer - Khao Lak Transfer</t>
  </si>
  <si>
    <t>Surat Thani Airport - Khao Sok Transfer</t>
  </si>
  <si>
    <t>Surat Thani Town Transfer - Khao Sok Transfer</t>
  </si>
  <si>
    <t>Surat Thani Town Transfer - Koh Lanta Hotel Transfer</t>
  </si>
  <si>
    <t>Surat Thani Town Transfer - Ao Nam Mao Pier</t>
  </si>
  <si>
    <t>Surat Thani Town Transfer - Klong Jilad Pier</t>
  </si>
  <si>
    <t>Surat Thani Town Transfer - Krabi Airport</t>
  </si>
  <si>
    <t>Surat Thani Town Transfer - Krabi Town Transfer</t>
  </si>
  <si>
    <t>Surat Thani Airport - Sichon Transfer</t>
  </si>
  <si>
    <t>Surat Thani Town Transfer - Sichon Transfer</t>
  </si>
  <si>
    <t>Surat Thani Airport - Phang Nga town</t>
  </si>
  <si>
    <t>Surat Thani Town Transfer - Phang Nga town</t>
  </si>
  <si>
    <t>Surat Thani Town Transfer - Patong Kata Karon Transfer</t>
  </si>
  <si>
    <t>Surat Thani Town Transfer - Phuket Airport</t>
  </si>
  <si>
    <t>Surat Thani Town Transfer - Phuket Town Hotel Transfer</t>
  </si>
  <si>
    <t>Surat Thani Airport - Ratchaprapha Dam</t>
  </si>
  <si>
    <t>Surat Thani Town Transfer - Ratchaprapha Dam</t>
  </si>
  <si>
    <t>Thailand, Surat Thani Bus Terminal</t>
  </si>
  <si>
    <t>Surat Thani Bus Terminal - Ao Nang</t>
  </si>
  <si>
    <t>van</t>
  </si>
  <si>
    <t>Surat Thani Bus Terminal - Nakhon Pathom</t>
  </si>
  <si>
    <t>Surin Nca Bus Terminal - Rayong</t>
  </si>
  <si>
    <t>Suvarnabhumi Airport - Ao Nang Transfer</t>
  </si>
  <si>
    <t>Suvarnabhumi Airport - Ayutthaya Hotel Transfer</t>
  </si>
  <si>
    <t>Suvarnabhumi Airport - Bangkok Hotel Transfer</t>
  </si>
  <si>
    <t>Suvarnabhumi Airport - Bangkok Transfer</t>
  </si>
  <si>
    <t>Suvarnabhumi Airport - Buriram Hotel Transfer</t>
  </si>
  <si>
    <t>Suvarnabhumi Airport - Chanthaburi Transfer</t>
  </si>
  <si>
    <t>Suvarnabhumi Airport - Chiang Mai Town Hotel Transfer</t>
  </si>
  <si>
    <t>Suvarnabhumi Airport - Chiang Rai Hotel Transfer</t>
  </si>
  <si>
    <t>Suvarnabhumi Airport - Chumphon Hotel Transfer</t>
  </si>
  <si>
    <t>Suvarnabhumi Airport - Hua Hin Hotel Transfer</t>
  </si>
  <si>
    <t>Suvarnabhumi Airport - Kanchanaburi Hotel Transfer</t>
  </si>
  <si>
    <t>Suvarnabhumi Airport - Khao Yai National Park</t>
  </si>
  <si>
    <t>Suvarnabhumi Airport - Khon Kaen Hotel Transfer</t>
  </si>
  <si>
    <t>Suvarnabhumi Airport - Krabi Town Transfer</t>
  </si>
  <si>
    <t>Suvarnabhumi Airport - Mae Sot Transfer</t>
  </si>
  <si>
    <t>Suvarnabhumi Airport - Nakhon Ratchasima</t>
  </si>
  <si>
    <t>Suvarnabhumi Airport - Pai</t>
  </si>
  <si>
    <t>Suvarnabhumi Airport - Pattaya Hotel Transfer</t>
  </si>
  <si>
    <t>Suvarnabhumi Airport - Phang Nga Hotel Transfer</t>
  </si>
  <si>
    <t>Suvarnabhumi Airport - Cha Am</t>
  </si>
  <si>
    <t>Suvarnabhumi Airport - Phuket Hotel Transfer</t>
  </si>
  <si>
    <t>Suvarnabhumi Airport - Ao Thammachat pier</t>
  </si>
  <si>
    <t>Suvarnabhumi Airport - Laem Sok Pier</t>
  </si>
  <si>
    <t>Suvarnabhumi Airport - Udon Thani Transfer</t>
  </si>
  <si>
    <t>Trang Airport - Koh Lipe Walking Street</t>
  </si>
  <si>
    <t>Trang Town - Koh Lipe Walking Street</t>
  </si>
  <si>
    <t>Trang Hotel Transfer - Phuket Hotel Transfer</t>
  </si>
  <si>
    <t>Trang Airport - Koh Bulone School Beach</t>
  </si>
  <si>
    <t>Trang Town - Koh Bulone School Beach</t>
  </si>
  <si>
    <t>Cambodia, Koh Rong</t>
  </si>
  <si>
    <t>Trat Town Hotel Transfer - Koh Rong Transfer</t>
  </si>
  <si>
    <t>bus | Bus + Bus + Ferry + Taxi</t>
  </si>
  <si>
    <t>Ao Nid Pier - Ekkamai</t>
  </si>
  <si>
    <t>ferry | Speedboat + Bus</t>
  </si>
  <si>
    <t>Ao Thammachat pier - Bangkok Transfer</t>
  </si>
  <si>
    <t>Laem Sok Pier - Bangkok Transfer</t>
  </si>
  <si>
    <t>Ao Thammachat pier - Suvarnabhumi Airport</t>
  </si>
  <si>
    <t>Laem Sok Pier - Suvarnabhumi Airport</t>
  </si>
  <si>
    <t>Udon Thani Transfer - Bangkok Transfer</t>
  </si>
  <si>
    <t>Udon Thani Transfer - Suvarnabhumi Airport</t>
  </si>
  <si>
    <t>Tunisia, Hammamet</t>
  </si>
  <si>
    <t>Tunisia, Tunis</t>
  </si>
  <si>
    <t>Hammamet Hotel Transfer - Tunis Carthage Airport</t>
  </si>
  <si>
    <t>Tunisia, Sfax</t>
  </si>
  <si>
    <t>Sfax Hotel Transfer - Tunis Carthage Airport</t>
  </si>
  <si>
    <t>Tunisia, Sousse</t>
  </si>
  <si>
    <t>Sousse Hotel Transfer - Tunis Carthage Airport</t>
  </si>
  <si>
    <t>Tunis Carthage Airport - Hammamet Hotel Transfer</t>
  </si>
  <si>
    <t>Tunis Carthage Airport - Sfax Hotel Transfer</t>
  </si>
  <si>
    <t>Tunis Carthage Airport - Sousse Hotel Transfer</t>
  </si>
  <si>
    <t>Turkey, Adakoy</t>
  </si>
  <si>
    <t>Turkey, Dalaman</t>
  </si>
  <si>
    <t>Adakoy Hotel Transfer - Dalaman Airport</t>
  </si>
  <si>
    <t>Turkey, Adana</t>
  </si>
  <si>
    <t>Turkey, Avanos</t>
  </si>
  <si>
    <t>Adana Airport - Avanos Hotel Transfer</t>
  </si>
  <si>
    <t>charter | Minivan 4pax</t>
  </si>
  <si>
    <t>Adana Hotel Transfer - Avanos Hotel Transfer</t>
  </si>
  <si>
    <t>Turkey, Cappadocia</t>
  </si>
  <si>
    <t>Adana Airport - Cappadocia Hotel Transfer</t>
  </si>
  <si>
    <t>Adana Hotel Transfer - Cappadocia Hotel Transfer</t>
  </si>
  <si>
    <t>Turkey, Cavusin</t>
  </si>
  <si>
    <t>Adana Airport - Cavusin Hotel Transfer</t>
  </si>
  <si>
    <t>Adana Hotel Transfer - Cavusin Hotel Transfer</t>
  </si>
  <si>
    <t>Turkey, Goreme</t>
  </si>
  <si>
    <t>Adana Airport - Goreme Hotel Transfer</t>
  </si>
  <si>
    <t>Adana Hotel Transfer - Goreme Hotel Transfer</t>
  </si>
  <si>
    <t>Turkey, Kayseri</t>
  </si>
  <si>
    <t>Adana Hotel Transfer - Kayseri Airport</t>
  </si>
  <si>
    <t>Turkey, Nevsehir</t>
  </si>
  <si>
    <t>Adana Airport - Nevsehir Hotel Transfer</t>
  </si>
  <si>
    <t>Adana Hotel Transfer - Nevsehir Hotel Transfer</t>
  </si>
  <si>
    <t>Turkey, Ortahisar</t>
  </si>
  <si>
    <t>Adana Airport - Ortahisar Hotel Transfer</t>
  </si>
  <si>
    <t>Adana Hotel Transfer - Ortahisar Hotel Transfer</t>
  </si>
  <si>
    <t>Turkey, Uchisar</t>
  </si>
  <si>
    <t>Adana Airport - Uchisar Hotel Transfer</t>
  </si>
  <si>
    <t>Adana Hotel Transfer - Uchisar Hotel Transfer</t>
  </si>
  <si>
    <t>Turkey, Urgup</t>
  </si>
  <si>
    <t>Adana Airport - Urgup Hotel Transfer</t>
  </si>
  <si>
    <t>Adana Hotel Transfer - Urgup Hotel Transfer</t>
  </si>
  <si>
    <t>Turkey, Akbuk</t>
  </si>
  <si>
    <t>Turkey, Izmir</t>
  </si>
  <si>
    <t>Akbuk Hotel Transfer - Adnan Menderes Airport</t>
  </si>
  <si>
    <t>Turkey, Akcay</t>
  </si>
  <si>
    <t>Akcay Hotel Transfer - Adnan Menderes Airport</t>
  </si>
  <si>
    <t>Turkey, Alacati</t>
  </si>
  <si>
    <t>Alacati Hotel Transfer - Adnan Menderes Airport</t>
  </si>
  <si>
    <t>Turkey, Alanya</t>
  </si>
  <si>
    <t>Turkey, Antalya</t>
  </si>
  <si>
    <t>Alanya Hotel Transfer - Antalya Airport</t>
  </si>
  <si>
    <t>Turkey, Aliaga</t>
  </si>
  <si>
    <t>Aliaga Hotel Transfer - Adnan Menderes Airport</t>
  </si>
  <si>
    <t>Turkey, Altinkum</t>
  </si>
  <si>
    <t>Altinkum Hotel Transfer - Adnan Menderes Airport</t>
  </si>
  <si>
    <t>Turkey, Altinoluk</t>
  </si>
  <si>
    <t>Altinoluk Hotel Transfer - Adnan Menderes Airport</t>
  </si>
  <si>
    <t>Turkey, Altinova</t>
  </si>
  <si>
    <t>Altinova Hotel Transfer - Adnan Menderes Airport</t>
  </si>
  <si>
    <t>Turkey, Ankara</t>
  </si>
  <si>
    <t>Ankara Esenboga Airport - Avanos Hotel Transfer</t>
  </si>
  <si>
    <t>Ankara Hotel Transfer - Avanos Hotel Transfer</t>
  </si>
  <si>
    <t>Ankara Esenboga Airport - Cappadocia Hotel Transfer</t>
  </si>
  <si>
    <t>Ankara Hotel Transfer - Cappadocia Hotel Transfer</t>
  </si>
  <si>
    <t>Ankara Esenboga Airport - Cavusin Hotel Transfer</t>
  </si>
  <si>
    <t>Ankara Hotel Transfer - Cavusin Hotel Transfer</t>
  </si>
  <si>
    <t>Ankara Esenboga Airport - Goreme Hotel Transfer</t>
  </si>
  <si>
    <t>Ankara Hotel Transfer - Goreme Hotel Transfer</t>
  </si>
  <si>
    <t>Ankara Hotel Transfer - Kayseri Airport</t>
  </si>
  <si>
    <t>Ankara Esenboga Airport - Nevsehir Hotel Transfer</t>
  </si>
  <si>
    <t>Ankara Hotel Transfer - Nevsehir Hotel Transfer</t>
  </si>
  <si>
    <t>Ankara Esenboga Airport - Ortahisar Hotel Transfer</t>
  </si>
  <si>
    <t>Ankara Hotel Transfer - Ortahisar Hotel Transfer</t>
  </si>
  <si>
    <t>Ankara Esenboga Airport - Uchisar Hotel Transfer</t>
  </si>
  <si>
    <t>Ankara Hotel Transfer - Uchisar Hotel Transfer</t>
  </si>
  <si>
    <t>Ankara Esenboga Airport - Urgup Hotel Transfer</t>
  </si>
  <si>
    <t>Ankara Hotel Transfer - Urgup Hotel Transfer</t>
  </si>
  <si>
    <t>Antalya Airport - Alanya Hotel Transfer</t>
  </si>
  <si>
    <t>Antalya Airport - Antalya Hotel Transfer</t>
  </si>
  <si>
    <t>Antalya Hotel Transfer - Antalya Airport</t>
  </si>
  <si>
    <t>Antalya Hotel Transfer - Avanos Hotel Transfer</t>
  </si>
  <si>
    <t>Turkey, Avsallar</t>
  </si>
  <si>
    <t>Antalya Airport - Avsallar Hotel Transfer</t>
  </si>
  <si>
    <t>Turkey, Beldibi</t>
  </si>
  <si>
    <t>Antalya Airport - Beldibi Hotel Transfer</t>
  </si>
  <si>
    <t>Turkey, Belek</t>
  </si>
  <si>
    <t>Antalya Airport - Belek Hotel Transfer</t>
  </si>
  <si>
    <t>Turkey, Camyuva</t>
  </si>
  <si>
    <t>Antalya Airport - Camyuva Hotel Transfer</t>
  </si>
  <si>
    <t>Antalya Hotel Transfer - Cappadocia Hotel Transfer</t>
  </si>
  <si>
    <t>Antalya Hotel Transfer - Cavusin Hotel Transfer</t>
  </si>
  <si>
    <t>Turkey, Gazipasa</t>
  </si>
  <si>
    <t>Antalya Airport - Gazipasa Hotel Transfer</t>
  </si>
  <si>
    <t>Antalya Hotel Transfer - Goreme Hotel Transfer</t>
  </si>
  <si>
    <t>Turkey, Goynuk</t>
  </si>
  <si>
    <t>Antalya Airport - Goynuk Hotel Transfer</t>
  </si>
  <si>
    <t>Antalya Hotel Transfer - Kayseri Airport</t>
  </si>
  <si>
    <t>Turkey, Kemer</t>
  </si>
  <si>
    <t>Antalya Airport - Kemer Hotel Transfer</t>
  </si>
  <si>
    <t>Turkey, Kestel</t>
  </si>
  <si>
    <t>Antalya Airport - Kestel Hotel Transfer</t>
  </si>
  <si>
    <t>Turkey, Kiris</t>
  </si>
  <si>
    <t>Antalya Airport - Kiris Hotel Transfer</t>
  </si>
  <si>
    <t>Turkey, Konakli</t>
  </si>
  <si>
    <t>Antalya Airport - Konakli Hotel Transfer</t>
  </si>
  <si>
    <t>Turkey, Kumkoy</t>
  </si>
  <si>
    <t>Antalya Airport - Kumkoy Hotel Transfer</t>
  </si>
  <si>
    <t>Turkey, Mahmutlar</t>
  </si>
  <si>
    <t>Antalya Airport - Mahmutlar Hotel Transfer</t>
  </si>
  <si>
    <t>Antalya Hotel Transfer - Nevsehir Hotel Transfer</t>
  </si>
  <si>
    <t>Turkey, Okurcalar</t>
  </si>
  <si>
    <t>Antalya Airport - Okurcalar Hotel Transfer</t>
  </si>
  <si>
    <t>Antalya Hotel Transfer - Ortahisar Hotel Transfer</t>
  </si>
  <si>
    <t>Turkey, Payallar</t>
  </si>
  <si>
    <t>Antalya Airport - Payallar Hotel Transfer</t>
  </si>
  <si>
    <t>Turkey, Serik</t>
  </si>
  <si>
    <t>Antalya Airport - Serik Hotel Transfer</t>
  </si>
  <si>
    <t>Turkey, Side</t>
  </si>
  <si>
    <t>Antalya Airport - Side Hotel Transfer</t>
  </si>
  <si>
    <t>Antalya Hotel Transfer - Uchisar Hotel Transfer</t>
  </si>
  <si>
    <t>Antalya Hotel Transfer - Urgup Hotel Transfer</t>
  </si>
  <si>
    <t>Turkey, Assos Behram</t>
  </si>
  <si>
    <t>Assos Behram Hotel Transfer - Adnan Menderes Airport</t>
  </si>
  <si>
    <t>Avanos Hotel Transfer - Kayseri Airport</t>
  </si>
  <si>
    <t>Avanos Hotel Transfer - Nevsehir Kapadokya Airport</t>
  </si>
  <si>
    <t>Avsallar Hotel Transfer - Antalya Airport</t>
  </si>
  <si>
    <t>Turkey, Ayvalik</t>
  </si>
  <si>
    <t>Ayvalik Hotel Transfer - Adnan Menderes Airport</t>
  </si>
  <si>
    <t>Turkey, Bademli</t>
  </si>
  <si>
    <t>Bademli Hotel Transfer - Adnan Menderes Airport</t>
  </si>
  <si>
    <t>Turkey, Balikesir</t>
  </si>
  <si>
    <t>Balikesir Hotel Transfer - Adnan Menderes Airport</t>
  </si>
  <si>
    <t>Beldibi Hotel Transfer - Antalya Airport</t>
  </si>
  <si>
    <t>Belek Hotel Transfer - Antalya Airport</t>
  </si>
  <si>
    <t>Turkey, Bergama</t>
  </si>
  <si>
    <t>Bergama Hotel Transfer - Adnan Menderes Airport</t>
  </si>
  <si>
    <t>Turkey, Bitez</t>
  </si>
  <si>
    <t>Bitez Hotel Transfer - Adnan Menderes Airport</t>
  </si>
  <si>
    <t>Turkey, Bodrum</t>
  </si>
  <si>
    <t>Bodrum Hotel Transfer - Adnan Menderes Airport</t>
  </si>
  <si>
    <t>Turkey, Bozburun</t>
  </si>
  <si>
    <t>Bozburun Hotel Transfer - Dalaman Airport</t>
  </si>
  <si>
    <t>Turkey, Buharkent</t>
  </si>
  <si>
    <t>Buharkent Hotel Transfer - Adnan Menderes Airport</t>
  </si>
  <si>
    <t>Camyuva Hotel Transfer - Antalya Airport</t>
  </si>
  <si>
    <t>Turkey, Candarli</t>
  </si>
  <si>
    <t>Candarli Hotel Transfer - Adnan Menderes Airport</t>
  </si>
  <si>
    <t>Cappadocia Hotel Transfer - Kayseri Airport</t>
  </si>
  <si>
    <t>Cappadocia Hotel Transfer - Nevsehir Kapadokya Airport</t>
  </si>
  <si>
    <t>Cavusin Hotel Transfer - Kayseri Airport</t>
  </si>
  <si>
    <t>Cavusin Hotel Transfer - Nevsehir Kapadokya Airport</t>
  </si>
  <si>
    <t>Turkey, Cesme</t>
  </si>
  <si>
    <t>Cesme Hotel Transfer - Adnan Menderes Airport</t>
  </si>
  <si>
    <t>Dalaman Airport - Adakoy Hotel Transfer</t>
  </si>
  <si>
    <t>Dalaman Airport - Bozburun Hotel Transfer</t>
  </si>
  <si>
    <t>Dalaman Airport - Dalaman Hotel Transfer</t>
  </si>
  <si>
    <t>Dalaman Hotel Transfer - Dalaman Airport</t>
  </si>
  <si>
    <t>Turkey, Dalyan</t>
  </si>
  <si>
    <t>Dalaman Airport - Dalyan Hotel Transfer</t>
  </si>
  <si>
    <t>Turkey, Datca</t>
  </si>
  <si>
    <t>Dalaman Airport - Datca Hotel Transfer</t>
  </si>
  <si>
    <t>Turkey, Demre</t>
  </si>
  <si>
    <t>Dalaman Airport - Demre Hotel Transfer</t>
  </si>
  <si>
    <t>Turkey, Ekincik</t>
  </si>
  <si>
    <t>Dalaman Airport - Ekincik Hotel Transfer</t>
  </si>
  <si>
    <t>Turkey, Fethiye</t>
  </si>
  <si>
    <t>Dalaman Airport - Calis Beach</t>
  </si>
  <si>
    <t>Dalaman Airport - Fethiye Ece Saray Marina</t>
  </si>
  <si>
    <t>Dalaman Airport - Fethiye Hotel Transfer</t>
  </si>
  <si>
    <t>Turkey, Gelemis</t>
  </si>
  <si>
    <t>Dalaman Airport - Patara Beach</t>
  </si>
  <si>
    <t>Turkey, Gocek</t>
  </si>
  <si>
    <t>Dalaman Airport - Gocek Belediye Marina</t>
  </si>
  <si>
    <t>Dalaman Airport - Gocek Club Marina</t>
  </si>
  <si>
    <t>Dalaman Airport - Gocek Hotel Transfer</t>
  </si>
  <si>
    <t>Dalaman Airport - Gocek Marinturk Marina</t>
  </si>
  <si>
    <t>Dalaman Airport - Gocek Scopea Marina</t>
  </si>
  <si>
    <t>Turkey, Hisaronu</t>
  </si>
  <si>
    <t>Dalaman Airport - Marmaris Hisaronu Hotel Transfer</t>
  </si>
  <si>
    <t>Turkey, Icmeler</t>
  </si>
  <si>
    <t>Dalaman Airport - Icmeler Hotel Transfer</t>
  </si>
  <si>
    <t>Turkey, Kabak</t>
  </si>
  <si>
    <t>Dalaman Airport - Kabak Hotel Transfer</t>
  </si>
  <si>
    <t>Turkey, Kaleucagiz</t>
  </si>
  <si>
    <t>Dalaman Airport - Ucagiz Kekova Castle</t>
  </si>
  <si>
    <t>Turkey, Kalkan</t>
  </si>
  <si>
    <t>Dalaman Airport - Kalkan Hotel Transfer</t>
  </si>
  <si>
    <t>Turkey, Kapikargin</t>
  </si>
  <si>
    <t>Dalaman Airport - Kapikargin Hotel Transfer</t>
  </si>
  <si>
    <t>Turkey, Karaca</t>
  </si>
  <si>
    <t>Dalaman Airport - Karaca Hotel Transfer</t>
  </si>
  <si>
    <t>Turkey, Kas</t>
  </si>
  <si>
    <t>Dalaman Airport - Kas Hotel Transfer</t>
  </si>
  <si>
    <t>Turkey, Kayakoy</t>
  </si>
  <si>
    <t>Dalaman Airport - Kayakoy Hotel Transfer</t>
  </si>
  <si>
    <t>Turkey, Koycegiz</t>
  </si>
  <si>
    <t>Dalaman Airport - Koycegiz Hotel Transfer</t>
  </si>
  <si>
    <t>Turkey, Kumlubuk</t>
  </si>
  <si>
    <t>Dalaman Airport - Kumlubuk Hotel Transfer</t>
  </si>
  <si>
    <t>Turkey, Marmaris</t>
  </si>
  <si>
    <t>Dalaman Airport - Beldibi Marmaris Hotel Transfer</t>
  </si>
  <si>
    <t>Dalaman Airport - Marmaris Albatros Marina</t>
  </si>
  <si>
    <t>Dalaman Airport - Marmaris Cruise Port</t>
  </si>
  <si>
    <t>Dalaman Airport - Marmaris Hotel Transfer</t>
  </si>
  <si>
    <t>Dalaman Airport - Marmaris Netsel Marina</t>
  </si>
  <si>
    <t>Dalaman Airport - Marmaris Yacht Marina</t>
  </si>
  <si>
    <t>Turkey, Oludeniz</t>
  </si>
  <si>
    <t>Dalaman Airport - Fethiye Hisaronu Hotel Transfer</t>
  </si>
  <si>
    <t>Dalaman Airport - Oludeniz Hotel Transfer</t>
  </si>
  <si>
    <t>Dalaman Airport - Ovacik Hotel Transfer</t>
  </si>
  <si>
    <t>Turkey, Orhaniye</t>
  </si>
  <si>
    <t>Dalaman Airport - Orhaniye Hotel Transfer</t>
  </si>
  <si>
    <t>Dalaman Airport - Orhaniye Marti Marina</t>
  </si>
  <si>
    <t>Turkey, Sarigerme</t>
  </si>
  <si>
    <t>Dalaman Airport - Sarigerme Hotel Transfer</t>
  </si>
  <si>
    <t>Turkey, Selimiye</t>
  </si>
  <si>
    <t>Dalaman Airport - Selimiye Hotel Transfer</t>
  </si>
  <si>
    <t>Turkey, Sogutkoy</t>
  </si>
  <si>
    <t>Dalaman Airport - Sogutkoy Hotel Transfer</t>
  </si>
  <si>
    <t>Turkey, Turunc</t>
  </si>
  <si>
    <t>Dalaman Airport - Turunc Hotel Transfer</t>
  </si>
  <si>
    <t>Turkey, Uzumlu</t>
  </si>
  <si>
    <t>Dalaman Airport - Yesiluzumlu Hotel Transfer</t>
  </si>
  <si>
    <t>Turkey, Uzunyurt</t>
  </si>
  <si>
    <t>Dalaman Airport - Uzunyurt Hotel Transfer</t>
  </si>
  <si>
    <t>Turkey, Yaniklar</t>
  </si>
  <si>
    <t>Dalaman Airport - Yaniklar Hotel Transfer</t>
  </si>
  <si>
    <t>Dalyan Hotel Transfer - Dalaman Airport</t>
  </si>
  <si>
    <t>Dalyan Hotel Transfer - Adnan Menderes Airport</t>
  </si>
  <si>
    <t>Datca Hotel Transfer - Dalaman Airport</t>
  </si>
  <si>
    <t>Turkey, Davutlar</t>
  </si>
  <si>
    <t>Davutlar Hotel Transfer - Adnan Menderes Airport</t>
  </si>
  <si>
    <t>Demre Hotel Transfer - Dalaman Airport</t>
  </si>
  <si>
    <t>Turkey, Denizli</t>
  </si>
  <si>
    <t>Denizli Hotel Transfer - Adnan Menderes Airport</t>
  </si>
  <si>
    <t>Turkey, Dikili</t>
  </si>
  <si>
    <t>Dikili Hotel Transfer - Adnan Menderes Airport</t>
  </si>
  <si>
    <t>Ekincik Hotel Transfer - Dalaman Airport</t>
  </si>
  <si>
    <t>Fethiye Hotel Transfer - Avanos Hotel Transfer</t>
  </si>
  <si>
    <t>Fethiye Hotel Transfer - Cappadocia Hotel Transfer</t>
  </si>
  <si>
    <t>Fethiye Hotel Transfer - Cavusin Hotel Transfer</t>
  </si>
  <si>
    <t>Calis Beach - Dalaman Airport</t>
  </si>
  <si>
    <t>Fethiye Ece Saray Marina - Dalaman Airport</t>
  </si>
  <si>
    <t>Fethiye Hotel Transfer - Dalaman Airport</t>
  </si>
  <si>
    <t>Fethiye Hotel Transfer - Goreme Hotel Transfer</t>
  </si>
  <si>
    <t>Fethiye Hotel Transfer - Adnan Menderes Airport</t>
  </si>
  <si>
    <t>Fethiye Hotel Transfer - Nevsehir Hotel Transfer</t>
  </si>
  <si>
    <t>Fethiye Hotel Transfer - Ortahisar Hotel Transfer</t>
  </si>
  <si>
    <t>Fethiye Hotel Transfer - Uchisar Hotel Transfer</t>
  </si>
  <si>
    <t>Fethiye Hotel Transfer - Urgup Hotel Transfer</t>
  </si>
  <si>
    <t>Turkey, Foca</t>
  </si>
  <si>
    <t>Foca Hotel Transfer - Adnan Menderes Airport</t>
  </si>
  <si>
    <t>Gazipasa Hotel Transfer - Antalya Airport</t>
  </si>
  <si>
    <t>Patara Beach - Dalaman Airport</t>
  </si>
  <si>
    <t>Turkey, Germencik</t>
  </si>
  <si>
    <t>Germencik Hotel Transfer - Adnan Menderes Airport</t>
  </si>
  <si>
    <t>Gocek Belediye Marina - Dalaman Airport</t>
  </si>
  <si>
    <t>Gocek Club Marina - Dalaman Airport</t>
  </si>
  <si>
    <t>Gocek Hotel Transfer - Dalaman Airport</t>
  </si>
  <si>
    <t>Gocek Marinturk Marina - Dalaman Airport</t>
  </si>
  <si>
    <t>Gocek Scopea Marina - Dalaman Airport</t>
  </si>
  <si>
    <t>Goreme Hotel Transfer - Antalya Hotel Transfer</t>
  </si>
  <si>
    <t>Goreme Hotel Transfer - Kayseri Airport</t>
  </si>
  <si>
    <t>Goreme Hotel Transfer - Nevsehir Kapadokya Airport</t>
  </si>
  <si>
    <t>Turkey, Pamukkale</t>
  </si>
  <si>
    <t>Goreme Hotel Transfer - Pamukkale Hotel Transfer</t>
  </si>
  <si>
    <t>Goynuk Hotel Transfer - Antalya Airport</t>
  </si>
  <si>
    <t>Turkey, Gulsehir</t>
  </si>
  <si>
    <t>Gulsehir Hotel Transfer - Kayseri Airport</t>
  </si>
  <si>
    <t>Turkey, Guzelcamli</t>
  </si>
  <si>
    <t>Guzelcamli Hotel Transfer - Adnan Menderes Airport</t>
  </si>
  <si>
    <t>Marmaris Hisaronu Hotel Transfer - Dalaman Airport</t>
  </si>
  <si>
    <t>Turkey, Ibrahimpasa</t>
  </si>
  <si>
    <t>Ibrahimpasa Hotel Transfer - Kayseri Airport</t>
  </si>
  <si>
    <t>Ibrahimpasa Hotel Transfer - Nevsehir Kapadokya Airport</t>
  </si>
  <si>
    <t>Icmeler Hotel Transfer - Dalaman Airport</t>
  </si>
  <si>
    <t>Icmeler Hotel Transfer - Adnan Menderes Airport</t>
  </si>
  <si>
    <t>Turkey, Istanbul</t>
  </si>
  <si>
    <t>Istanbul Hotel Transfer - Avanos Hotel Transfer</t>
  </si>
  <si>
    <t>Istanbul Hotel Transfer - Cappadocia Hotel Transfer</t>
  </si>
  <si>
    <t>Istanbul Hotel Transfer - Cavusin Hotel Transfer</t>
  </si>
  <si>
    <t>Istanbul Hotel Transfer - Goreme Hotel Transfer</t>
  </si>
  <si>
    <t>Atasehir Hotel Transfer - Sabiha Gokcen Airport</t>
  </si>
  <si>
    <t>charter | VIP Van 5pax</t>
  </si>
  <si>
    <t>Bahcelievler Hotel Transfer - Istanbul New Airport</t>
  </si>
  <si>
    <t>Bahcelievler Hotel Transfer - Sabiha Gokcen Airport</t>
  </si>
  <si>
    <t>Bakirkoy Hotel Transfer - Istanbul New Airport</t>
  </si>
  <si>
    <t>Bakirkoy Hotel Transfer - Sabiha Gokcen Airport</t>
  </si>
  <si>
    <t>Bayrampasa Hotel Transfer - Istanbul New Airport</t>
  </si>
  <si>
    <t>Bayrampasa Hotel Transfer - Sabiha Gokcen Airport</t>
  </si>
  <si>
    <t>Besiktas Hotel Transfer - Istanbul New Airport</t>
  </si>
  <si>
    <t>Besiktas Hotel Transfer - Istanbul Port</t>
  </si>
  <si>
    <t>Besiktas Hotel Transfer - Sabiha Gokcen Airport</t>
  </si>
  <si>
    <t>Beyazit Hotel Transfer - Istanbul New Airport</t>
  </si>
  <si>
    <t>Beyazit Hotel Transfer - Istanbul Port</t>
  </si>
  <si>
    <t>Beyazit Hotel Transfer - Sabiha Gokcen Airport</t>
  </si>
  <si>
    <t>Beyoglu Hotel Transfer - Istanbul New Airport</t>
  </si>
  <si>
    <t>Beyoglu Hotel Transfer - Istanbul Port</t>
  </si>
  <si>
    <t>Beyoglu Hotel Transfer - Sabiha Gokcen Airport</t>
  </si>
  <si>
    <t>Fatih Hotel Transfer - Istanbul New Airport</t>
  </si>
  <si>
    <t>Fatih Hotel Transfer - Istanbul Port</t>
  </si>
  <si>
    <t>Fatih Hotel Transfer - Sabiha Gokcen Airport</t>
  </si>
  <si>
    <t>Istanbul New Airport - Bahcelievler Hotel Transfer</t>
  </si>
  <si>
    <t>Istanbul New Airport - Bakirkoy Hotel Transfer</t>
  </si>
  <si>
    <t>Istanbul New Airport - Bayrampasa Hotel Transfer</t>
  </si>
  <si>
    <t>Istanbul New Airport - Besiktas Hotel Transfer</t>
  </si>
  <si>
    <t>Istanbul New Airport - Beyazit Hotel Transfer</t>
  </si>
  <si>
    <t>Istanbul New Airport - Beyoglu Hotel Transfer</t>
  </si>
  <si>
    <t>Istanbul New Airport - Fatih Hotel Transfer</t>
  </si>
  <si>
    <t>Istanbul New Airport - Istanbul Port</t>
  </si>
  <si>
    <t>Istanbul New Airport - Kadikoy Hotel Transfer</t>
  </si>
  <si>
    <t>Istanbul New Airport - Karakoy Hotel Transfer</t>
  </si>
  <si>
    <t>Istanbul New Airport - Sabiha Gokcen Airport</t>
  </si>
  <si>
    <t>Istanbul New Airport - Sirkeci Hotel Transfer</t>
  </si>
  <si>
    <t>Istanbul New Airport - Sisli Hotel Transfer</t>
  </si>
  <si>
    <t>Istanbul New Airport - Sultanahmet Hotel Transfer</t>
  </si>
  <si>
    <t>Istanbul New Airport - Taksim Hotel Transfer</t>
  </si>
  <si>
    <t>Istanbul New Airport - Umraniye Hotel Transfer</t>
  </si>
  <si>
    <t>Istanbul New Airport - Uskudar Hotel Transfer</t>
  </si>
  <si>
    <t>Istanbul Port - Besiktas Hotel Transfer</t>
  </si>
  <si>
    <t>Istanbul Port - Beyazit Hotel Transfer</t>
  </si>
  <si>
    <t>Istanbul Port - Beyoglu Hotel Transfer</t>
  </si>
  <si>
    <t>Istanbul Port - Fatih Hotel Transfer</t>
  </si>
  <si>
    <t>Istanbul Port - Istanbul New Airport</t>
  </si>
  <si>
    <t>Istanbul Port - Karakoy Hotel Transfer</t>
  </si>
  <si>
    <t>Istanbul Port - Sabiha Gokcen Airport</t>
  </si>
  <si>
    <t>Istanbul Port - Sirkeci Hotel Transfer</t>
  </si>
  <si>
    <t>Istanbul Port - Sisli Hotel Transfer</t>
  </si>
  <si>
    <t>Istanbul Port - Sultanahmet Hotel Transfer</t>
  </si>
  <si>
    <t>Istanbul Port - Taksim Hotel Transfer</t>
  </si>
  <si>
    <t>Kadikoy Hotel Transfer - Istanbul New Airport</t>
  </si>
  <si>
    <t>Kadikoy Hotel Transfer - Sabiha Gokcen Airport</t>
  </si>
  <si>
    <t>Karakoy Hotel Transfer - Istanbul New Airport</t>
  </si>
  <si>
    <t>Karakoy Hotel Transfer - Istanbul Port</t>
  </si>
  <si>
    <t>Karakoy Hotel Transfer - Sabiha Gokcen Airport</t>
  </si>
  <si>
    <t>Sabiha Gokcen Airport - Atasehir Hotel Transfer</t>
  </si>
  <si>
    <t>Sabiha Gokcen Airport - Bahcelievler Hotel Transfer</t>
  </si>
  <si>
    <t>Sabiha Gokcen Airport - Bakirkoy Hotel Transfer</t>
  </si>
  <si>
    <t>Sabiha Gokcen Airport - Bayrampasa Hotel Transfer</t>
  </si>
  <si>
    <t>Sabiha Gokcen Airport - Besiktas Hotel Transfer</t>
  </si>
  <si>
    <t>Sabiha Gokcen Airport - Beyazit Hotel Transfer</t>
  </si>
  <si>
    <t>Sabiha Gokcen Airport - Beyoglu Hotel Transfer</t>
  </si>
  <si>
    <t>Sabiha Gokcen Airport - Fatih Hotel Transfer</t>
  </si>
  <si>
    <t>Sabiha Gokcen Airport - Istanbul New Airport</t>
  </si>
  <si>
    <t>Sabiha Gokcen Airport - Istanbul Port</t>
  </si>
  <si>
    <t>Sabiha Gokcen Airport - Kadikoy Hotel Transfer</t>
  </si>
  <si>
    <t>Sabiha Gokcen Airport - Karakoy Hotel Transfer</t>
  </si>
  <si>
    <t>Sabiha Gokcen Airport - Sirkeci Hotel Transfer</t>
  </si>
  <si>
    <t>Sabiha Gokcen Airport - Sisli Hotel Transfer</t>
  </si>
  <si>
    <t>Sabiha Gokcen Airport - Sultanahmet Hotel Transfer</t>
  </si>
  <si>
    <t>Sabiha Gokcen Airport - Taksim Hotel Transfer</t>
  </si>
  <si>
    <t>Sabiha Gokcen Airport - Uskudar Hotel Transfer</t>
  </si>
  <si>
    <t>Sirkeci Hotel Transfer - Istanbul New Airport</t>
  </si>
  <si>
    <t>Sirkeci Hotel Transfer - Istanbul Port</t>
  </si>
  <si>
    <t>Sirkeci Hotel Transfer - Sabiha Gokcen Airport</t>
  </si>
  <si>
    <t>Sisli Hotel Transfer - Istanbul New Airport</t>
  </si>
  <si>
    <t>Sisli Hotel Transfer - Istanbul Port</t>
  </si>
  <si>
    <t>Sisli Hotel Transfer - Sabiha Gokcen Airport</t>
  </si>
  <si>
    <t>Sultanahmet Hotel Transfer - Istanbul New Airport</t>
  </si>
  <si>
    <t>Sultanahmet Hotel Transfer - Istanbul Port</t>
  </si>
  <si>
    <t>Sultanahmet Hotel Transfer - Sabiha Gokcen Airport</t>
  </si>
  <si>
    <t>Taksim Hotel Transfer - Istanbul New Airport</t>
  </si>
  <si>
    <t>Taksim Hotel Transfer - Istanbul Port</t>
  </si>
  <si>
    <t>Taksim Hotel Transfer - Sabiha Gokcen Airport</t>
  </si>
  <si>
    <t>Umraniye Hotel Transfer - Istanbul New Airport</t>
  </si>
  <si>
    <t>Uskudar Hotel Transfer - Istanbul New Airport</t>
  </si>
  <si>
    <t>Uskudar Hotel Transfer - Sabiha Gokcen Airport</t>
  </si>
  <si>
    <t>Istanbul Hotel Transfer - Nevsehir Hotel Transfer</t>
  </si>
  <si>
    <t>Istanbul Hotel Transfer - Ortahisar Hotel Transfer</t>
  </si>
  <si>
    <t>Istanbul Hotel Transfer - Uchisar Hotel Transfer</t>
  </si>
  <si>
    <t>Istanbul Hotel Transfer - Urgup Hotel Transfer</t>
  </si>
  <si>
    <t>Adnan Menderes Airport - Akbuk Hotel Transfer</t>
  </si>
  <si>
    <t>Adnan Menderes Airport - Akcay Hotel Transfer</t>
  </si>
  <si>
    <t>Adnan Menderes Airport - Alacati Hotel Transfer</t>
  </si>
  <si>
    <t>Adnan Menderes Airport - Aliaga Hotel Transfer</t>
  </si>
  <si>
    <t>Adnan Menderes Airport - Altinkum Hotel Transfer</t>
  </si>
  <si>
    <t>Adnan Menderes Airport - Altinoluk Hotel Transfer</t>
  </si>
  <si>
    <t>Adnan Menderes Airport - Altinova Hotel Transfer</t>
  </si>
  <si>
    <t>Adnan Menderes Airport - Assos Behram Hotel Transfer</t>
  </si>
  <si>
    <t>Izmir Hotel Transfer - Avanos Hotel Transfer</t>
  </si>
  <si>
    <t>Adnan Menderes Airport - Ayvalik Hotel Transfer</t>
  </si>
  <si>
    <t>Adnan Menderes Airport - Bademli Hotel Transfer</t>
  </si>
  <si>
    <t>Adnan Menderes Airport - Balikesir Hotel Transfer</t>
  </si>
  <si>
    <t>Adnan Menderes Airport - Bergama Hotel Transfer</t>
  </si>
  <si>
    <t>Adnan Menderes Airport - Bitez Hotel Transfer</t>
  </si>
  <si>
    <t>Adnan Menderes Airport - Bodrum Hotel Transfer</t>
  </si>
  <si>
    <t>Adnan Menderes Airport - Buharkent Hotel Transfer</t>
  </si>
  <si>
    <t>Adnan Menderes Airport - Candarli Hotel Transfer</t>
  </si>
  <si>
    <t>Izmir Hotel Transfer - Cappadocia Hotel Transfer</t>
  </si>
  <si>
    <t>Izmir Hotel Transfer - Cavusin Hotel Transfer</t>
  </si>
  <si>
    <t>Adnan Menderes Airport - Cesme Hotel Transfer</t>
  </si>
  <si>
    <t>Adnan Menderes Airport - Dalyan Hotel Transfer</t>
  </si>
  <si>
    <t>Adnan Menderes Airport - Davutlar Hotel Transfer</t>
  </si>
  <si>
    <t>Adnan Menderes Airport - Denizli Hotel Transfer</t>
  </si>
  <si>
    <t>Adnan Menderes Airport - Dikili Hotel Transfer</t>
  </si>
  <si>
    <t>Adnan Menderes Airport - Fethiye Hotel Transfer</t>
  </si>
  <si>
    <t>Adnan Menderes Airport - Foca Hotel Transfer</t>
  </si>
  <si>
    <t>Adnan Menderes Airport - Germencik Hotel Transfer</t>
  </si>
  <si>
    <t>Izmir Hotel Transfer - Goreme Hotel Transfer</t>
  </si>
  <si>
    <t>Adnan Menderes Airport - Guzelcamli Hotel Transfer</t>
  </si>
  <si>
    <t>Adnan Menderes Airport - Icmeler Hotel Transfer</t>
  </si>
  <si>
    <t>Adnan Menderes Airport - Balcova Hotel Transfer</t>
  </si>
  <si>
    <t>Adnan Menderes Airport - Bornova Hotel Transfer</t>
  </si>
  <si>
    <t>Adnan Menderes Airport - Izmir Buca Transfer</t>
  </si>
  <si>
    <t>Adnan Menderes Airport - Izmir Hotel Transfer</t>
  </si>
  <si>
    <t>Adnan Menderes Airport - Karsiyaka Hotel Transfer</t>
  </si>
  <si>
    <t>Balcova Hotel Transfer - Adnan Menderes Airport</t>
  </si>
  <si>
    <t>Bornova Hotel Transfer - Adnan Menderes Airport</t>
  </si>
  <si>
    <t>Izmir Buca Transfer - Adnan Menderes Airport</t>
  </si>
  <si>
    <t>Izmir Hotel Transfer - Adnan Menderes Airport</t>
  </si>
  <si>
    <t>Karsiyaka Hotel Transfer - Adnan Menderes Airport</t>
  </si>
  <si>
    <t>Turkey, Karaburun</t>
  </si>
  <si>
    <t>Adnan Menderes Airport - Karaburun Hotel Transfer</t>
  </si>
  <si>
    <t>Turkey, Kusadasi</t>
  </si>
  <si>
    <t>Adnan Menderes Airport - Kusadasi Hotel Transfer</t>
  </si>
  <si>
    <t>Adnan Menderes Airport - Kusadasi International Golf Resort</t>
  </si>
  <si>
    <t>Turkey, Manisa</t>
  </si>
  <si>
    <t>Adnan Menderes Airport - Manisa Hotel Transfer</t>
  </si>
  <si>
    <t>Adnan Menderes Airport - Marmaris Hotel Transfer</t>
  </si>
  <si>
    <t>Adnan Menderes Airport - Marmaris Yacht Marina</t>
  </si>
  <si>
    <t>Turkey, Mordogan</t>
  </si>
  <si>
    <t>Adnan Menderes Airport - Mordogan Hotel Transfer</t>
  </si>
  <si>
    <t>Turkey, Nazilli</t>
  </si>
  <si>
    <t>Adnan Menderes Airport - Nazilli Hotel Transfer</t>
  </si>
  <si>
    <t>Izmir Hotel Transfer - Nevsehir Hotel Transfer</t>
  </si>
  <si>
    <t>Izmir Hotel Transfer - Ortahisar Hotel Transfer</t>
  </si>
  <si>
    <t>Turkey, Ozdere</t>
  </si>
  <si>
    <t>Adnan Menderes Airport - Ozdere Hotel Transfer</t>
  </si>
  <si>
    <t>Adnan Menderes Airport - Pamukkale Hotel Transfer</t>
  </si>
  <si>
    <t>Turkey, Salihli</t>
  </si>
  <si>
    <t>Adnan Menderes Airport - Salihli Hotel Transfer</t>
  </si>
  <si>
    <t>Turkey, Seferihisar</t>
  </si>
  <si>
    <t>Adnan Menderes Airport - Seferihisar Hotel Transfer</t>
  </si>
  <si>
    <t>Turkey, Selcuk</t>
  </si>
  <si>
    <t>Adnan Menderes Airport - Pamucak Beach</t>
  </si>
  <si>
    <t>Adnan Menderes Airport - Selcuk Hotel Transfer</t>
  </si>
  <si>
    <t>Turkey, Sigacik</t>
  </si>
  <si>
    <t>Adnan Menderes Airport - Sigacik Hotel Transfer</t>
  </si>
  <si>
    <t>Turkey, Sogucak</t>
  </si>
  <si>
    <t>Adnan Menderes Airport - Sogucak Hotel Transfer</t>
  </si>
  <si>
    <t>Turkey, Soke</t>
  </si>
  <si>
    <t>Adnan Menderes Airport - Soke Hotel Transfer</t>
  </si>
  <si>
    <t>Turkey, Torba</t>
  </si>
  <si>
    <t>Adnan Menderes Airport - Torba Hotel Transfer</t>
  </si>
  <si>
    <t>Turkey, Torbali</t>
  </si>
  <si>
    <t>Adnan Menderes Airport - Torbali Hotel Transfer</t>
  </si>
  <si>
    <t>Turkey, Turgutreis</t>
  </si>
  <si>
    <t>Adnan Menderes Airport - Turgutreis Hotel Transfer</t>
  </si>
  <si>
    <t>Izmir Hotel Transfer - Uchisar Hotel Transfer</t>
  </si>
  <si>
    <t>Izmir Hotel Transfer - Urgup Hotel Transfer</t>
  </si>
  <si>
    <t>Turkey, Urla</t>
  </si>
  <si>
    <t>Adnan Menderes Airport - Urla Hotel Transfer</t>
  </si>
  <si>
    <t>Turkey, Yalikavak</t>
  </si>
  <si>
    <t>Adnan Menderes Airport - Yalikavak Hotel Transfer</t>
  </si>
  <si>
    <t>Turkey, Yalikoy</t>
  </si>
  <si>
    <t>Adnan Menderes Airport - Yalikoy Hotel Transfer</t>
  </si>
  <si>
    <t>Kabak Hotel Transfer - Dalaman Airport</t>
  </si>
  <si>
    <t>Ucagiz Kekova Castle - Dalaman Airport</t>
  </si>
  <si>
    <t>Kalkan Hotel Transfer - Dalaman Airport</t>
  </si>
  <si>
    <t>Kapikargin Hotel Transfer - Dalaman Airport</t>
  </si>
  <si>
    <t>Karaburun Hotel Transfer - Adnan Menderes Airport</t>
  </si>
  <si>
    <t>Karaca Hotel Transfer - Dalaman Airport</t>
  </si>
  <si>
    <t>Kas Hotel Transfer - Dalaman Airport</t>
  </si>
  <si>
    <t>Kayakoy Hotel Transfer - Dalaman Airport</t>
  </si>
  <si>
    <t>Kayseri Airport - Adana Hotel Transfer</t>
  </si>
  <si>
    <t>Kayseri Airport - Ankara Hotel Transfer</t>
  </si>
  <si>
    <t>Kayseri Airport - Antalya Hotel Transfer</t>
  </si>
  <si>
    <t>Kayseri Airport - Avanos Hotel Transfer</t>
  </si>
  <si>
    <t>Kayseri Airport - Cappadocia Hotel Transfer</t>
  </si>
  <si>
    <t>Kayseri Airport - Cavusin Hotel Transfer</t>
  </si>
  <si>
    <t>Kayseri Airport - Goreme Hotel Transfer</t>
  </si>
  <si>
    <t>Kayseri Airport - Gulsehir Hotel Transfer</t>
  </si>
  <si>
    <t>Kayseri Airport - Ibrahimpasa Hotel Transfer</t>
  </si>
  <si>
    <t>Erciyes Hotel Transfer - Kayseri Airport</t>
  </si>
  <si>
    <t>Kayseri Airport - Erciyes Hotel Transfer</t>
  </si>
  <si>
    <t>Kayseri Airport - Kayseri Hotel Transfer</t>
  </si>
  <si>
    <t>Kayseri Hotel Transfer - Kayseri Airport</t>
  </si>
  <si>
    <t>Turkey, Konya</t>
  </si>
  <si>
    <t>Kayseri Airport - Konya Hotel Transfer</t>
  </si>
  <si>
    <t>Turkey, Nar</t>
  </si>
  <si>
    <t>Kayseri Airport - Nar Hotel Transfer</t>
  </si>
  <si>
    <t>Kayseri Airport - Nevsehir Hotel Transfer</t>
  </si>
  <si>
    <t>Turkey, Nigde</t>
  </si>
  <si>
    <t>Kayseri Airport - Nigde Hotel Transfer</t>
  </si>
  <si>
    <t>Kayseri Airport - Ortahisar Hotel Transfer</t>
  </si>
  <si>
    <t>Kayseri Airport - Uchisar Hotel Transfer</t>
  </si>
  <si>
    <t>Kayseri Airport - Urgup Hotel Transfer</t>
  </si>
  <si>
    <t>Kemer Hotel Transfer - Antalya Airport</t>
  </si>
  <si>
    <t>Kestel Hotel Transfer - Antalya Airport</t>
  </si>
  <si>
    <t>Kiris Hotel Transfer - Antalya Airport</t>
  </si>
  <si>
    <t>Konakli Hotel Transfer - Antalya Airport</t>
  </si>
  <si>
    <t>Konya Hotel Transfer - Kayseri Airport</t>
  </si>
  <si>
    <t>Koycegiz Hotel Transfer - Dalaman Airport</t>
  </si>
  <si>
    <t>Kumkoy Hotel Transfer - Antalya Airport</t>
  </si>
  <si>
    <t>Kumlubuk Hotel Transfer - Dalaman Airport</t>
  </si>
  <si>
    <t>Kusadasi Hotel Transfer - Adnan Menderes Airport</t>
  </si>
  <si>
    <t>Kusadasi International Golf Resort - Adnan Menderes Airport</t>
  </si>
  <si>
    <t>Mahmutlar Hotel Transfer - Antalya Airport</t>
  </si>
  <si>
    <t>Manisa Hotel Transfer - Adnan Menderes Airport</t>
  </si>
  <si>
    <t>Beldibi Marmaris Hotel Transfer - Dalaman Airport</t>
  </si>
  <si>
    <t>Marmaris Albatros Marina - Dalaman Airport</t>
  </si>
  <si>
    <t>Marmaris Cruise Port - Dalaman Airport</t>
  </si>
  <si>
    <t>Marmaris Hotel Transfer - Dalaman Airport</t>
  </si>
  <si>
    <t>Marmaris Netsel Marina - Dalaman Airport</t>
  </si>
  <si>
    <t>Marmaris Yacht Marina - Dalaman Airport</t>
  </si>
  <si>
    <t>Marmaris Hotel Transfer - Adnan Menderes Airport</t>
  </si>
  <si>
    <t>Marmaris Yacht Marina - Adnan Menderes Airport</t>
  </si>
  <si>
    <t>Mordogan Hotel Transfer - Adnan Menderes Airport</t>
  </si>
  <si>
    <t>Nar Hotel Transfer - Kayseri Airport</t>
  </si>
  <si>
    <t>Nar Hotel Transfer - Nevsehir Kapadokya Airport</t>
  </si>
  <si>
    <t>Nazilli Hotel Transfer - Adnan Menderes Airport</t>
  </si>
  <si>
    <t>Nevsehir Kapadokya Airport - Avanos Hotel Transfer</t>
  </si>
  <si>
    <t>Nevsehir Kapadokya Airport - Cappadocia Hotel Transfer</t>
  </si>
  <si>
    <t>Nevsehir Kapadokya Airport - Cavusin Hotel Transfer</t>
  </si>
  <si>
    <t>Nevsehir Kapadokya Airport - Goreme Hotel Transfer</t>
  </si>
  <si>
    <t>Nevsehir Kapadokya Airport - Ibrahimpasa Hotel Transfer</t>
  </si>
  <si>
    <t>Nevsehir Hotel Transfer - Kayseri Airport</t>
  </si>
  <si>
    <t>Nevsehir Kapadokya Airport - Nar Hotel Transfer</t>
  </si>
  <si>
    <t>Nevsehir Hotel Transfer - Nevsehir Kapadokya Airport</t>
  </si>
  <si>
    <t>Nevsehir Kapadokya Airport - Nevsehir Hotel Transfer</t>
  </si>
  <si>
    <t>Nevsehir Kapadokya Airport - Ortahisar Hotel Transfer</t>
  </si>
  <si>
    <t>Nevsehir Kapadokya Airport - Uchisar Hotel Transfer</t>
  </si>
  <si>
    <t>Nevsehir Kapadokya Airport - Urgup Hotel Transfer</t>
  </si>
  <si>
    <t>Nigde Hotel Transfer - Kayseri Airport</t>
  </si>
  <si>
    <t>Okurcalar Hotel Transfer - Antalya Airport</t>
  </si>
  <si>
    <t>Fethiye Hisaronu Hotel Transfer - Dalaman Airport</t>
  </si>
  <si>
    <t>Oludeniz Hotel Transfer - Dalaman Airport</t>
  </si>
  <si>
    <t>Ovacik Hotel Transfer - Dalaman Airport</t>
  </si>
  <si>
    <t>Orhaniye Hotel Transfer - Dalaman Airport</t>
  </si>
  <si>
    <t>Orhaniye Marti Marina - Dalaman Airport</t>
  </si>
  <si>
    <t>Ortahisar Hotel Transfer - Kayseri Airport</t>
  </si>
  <si>
    <t>Ortahisar Hotel Transfer - Nevsehir Kapadokya Airport</t>
  </si>
  <si>
    <t>Ozdere Hotel Transfer - Adnan Menderes Airport</t>
  </si>
  <si>
    <t>Pamukkale Hotel Transfer - Avanos Hotel Transfer</t>
  </si>
  <si>
    <t>Pamukkale Hotel Transfer - Cappadocia Hotel Transfer</t>
  </si>
  <si>
    <t>Pamukkale Hotel Transfer - Cavusin Hotel Transfer</t>
  </si>
  <si>
    <t>Pamukkale Hotel Transfer - Goreme Hotel Transfer</t>
  </si>
  <si>
    <t>Pamukkale Hotel Transfer - Adnan Menderes Airport</t>
  </si>
  <si>
    <t>Pamukkale Hotel Transfer - Nevsehir Hotel Transfer</t>
  </si>
  <si>
    <t>Pamukkale Hotel Transfer - Ortahisar Hotel Transfer</t>
  </si>
  <si>
    <t>Pamukkale Hotel Transfer - Uchisar Hotel Transfer</t>
  </si>
  <si>
    <t>Pamukkale Hotel Transfer - Urgup Hotel Transfer</t>
  </si>
  <si>
    <t>Payallar Hotel Transfer - Antalya Airport</t>
  </si>
  <si>
    <t>Salihli Hotel Transfer - Adnan Menderes Airport</t>
  </si>
  <si>
    <t>Sarigerme Hotel Transfer - Dalaman Airport</t>
  </si>
  <si>
    <t>Seferihisar Hotel Transfer - Adnan Menderes Airport</t>
  </si>
  <si>
    <t>Pamucak Beach - Adnan Menderes Airport</t>
  </si>
  <si>
    <t>Selcuk Hotel Transfer - Adnan Menderes Airport</t>
  </si>
  <si>
    <t>Selimiye Hotel Transfer - Dalaman Airport</t>
  </si>
  <si>
    <t>Serik Hotel Transfer - Antalya Airport</t>
  </si>
  <si>
    <t>Side Hotel Transfer - Antalya Airport</t>
  </si>
  <si>
    <t>Sigacik Hotel Transfer - Adnan Menderes Airport</t>
  </si>
  <si>
    <t>Sogucak Hotel Transfer - Adnan Menderes Airport</t>
  </si>
  <si>
    <t>Sogutkoy Hotel Transfer - Dalaman Airport</t>
  </si>
  <si>
    <t>Soke Hotel Transfer - Adnan Menderes Airport</t>
  </si>
  <si>
    <t>Torba Hotel Transfer - Adnan Menderes Airport</t>
  </si>
  <si>
    <t>Torbali Hotel Transfer - Adnan Menderes Airport</t>
  </si>
  <si>
    <t>Turkey, Trabzon</t>
  </si>
  <si>
    <t>Trabzon Airport - Trabzon Hotel Transfer</t>
  </si>
  <si>
    <t>Trabzon Hotel Transfer - Trabzon Airport</t>
  </si>
  <si>
    <t>Turgutreis Hotel Transfer - Adnan Menderes Airport</t>
  </si>
  <si>
    <t>Turunc Hotel Transfer - Dalaman Airport</t>
  </si>
  <si>
    <t>Uchisar Hotel Transfer - Kayseri Airport</t>
  </si>
  <si>
    <t>Uchisar Hotel Transfer - Nevsehir Kapadokya Airport</t>
  </si>
  <si>
    <t>Urgup Hotel Transfer - Kayseri Airport</t>
  </si>
  <si>
    <t>Urgup Hotel Transfer - Nevsehir Kapadokya Airport</t>
  </si>
  <si>
    <t>Urla Hotel Transfer - Adnan Menderes Airport</t>
  </si>
  <si>
    <t>Yesiluzumlu Hotel Transfer - Dalaman Airport</t>
  </si>
  <si>
    <t>Uzunyurt Hotel Transfer - Dalaman Airport</t>
  </si>
  <si>
    <t>Yalikavak Hotel Transfer - Adnan Menderes Airport</t>
  </si>
  <si>
    <t>Yalikoy Hotel Transfer - Adnan Menderes Airport</t>
  </si>
  <si>
    <t>Yaniklar Hotel Transfer - Dalaman Airport</t>
  </si>
  <si>
    <t>UK, Chatham</t>
  </si>
  <si>
    <t>Chatham - Glencoe</t>
  </si>
  <si>
    <t>UK, Chelmsford</t>
  </si>
  <si>
    <t>Chelmsford - Larchwood</t>
  </si>
  <si>
    <t>Chelmsford - Sudbury</t>
  </si>
  <si>
    <t>UK, Ipswich</t>
  </si>
  <si>
    <t>Ipswich - Dalby</t>
  </si>
  <si>
    <t>UK, Southport</t>
  </si>
  <si>
    <t>Southport - Yamba</t>
  </si>
  <si>
    <t>United Arab Emirates, Abu Dhabi</t>
  </si>
  <si>
    <t>Abu Dhabi Airport - Abu Dhabi Cruise Terminal</t>
  </si>
  <si>
    <t>Abu Dhabi Airport - Abu Dhabi Hotel Transfer</t>
  </si>
  <si>
    <t>Abu Dhabi Airport - Al Bateen Executive Airport</t>
  </si>
  <si>
    <t>Abu Dhabi Airport - Al Jazira Resort</t>
  </si>
  <si>
    <t>Abu Dhabi Airport - Al Maqta Hotel Transfer</t>
  </si>
  <si>
    <t>Abu Dhabi Airport - Al Mina Hotel Transfer</t>
  </si>
  <si>
    <t>Abu Dhabi Airport - Al Rahba Hotel Transfer</t>
  </si>
  <si>
    <t>Abu Dhabi Airport - Saadiyat Island Hotel Transfer</t>
  </si>
  <si>
    <t>Abu Dhabi Airport - Yas Island Hotel Transfer</t>
  </si>
  <si>
    <t>Abu Dhabi Cruise Terminal - Abu Dhabi Airport</t>
  </si>
  <si>
    <t>Abu Dhabi Hotel Transfer - Abu Dhabi Airport</t>
  </si>
  <si>
    <t>Al Bateen Executive Airport - Abu Dhabi Airport</t>
  </si>
  <si>
    <t>Al Jazira Resort - Abu Dhabi Airport</t>
  </si>
  <si>
    <t>Al Maqta Hotel Transfer - Abu Dhabi Airport</t>
  </si>
  <si>
    <t>Al Mina Hotel Transfer - Abu Dhabi Airport</t>
  </si>
  <si>
    <t>Al Rahba Hotel Transfer - Abu Dhabi Airport</t>
  </si>
  <si>
    <t>Saadiyat Island Hotel Transfer - Abu Dhabi Airport</t>
  </si>
  <si>
    <t>Yas Island Hotel Transfer - Abu Dhabi Airport</t>
  </si>
  <si>
    <t>Abu Dhabi Airport - Al Barsha Hotel Transfer</t>
  </si>
  <si>
    <t>Abu Dhabi Airport - Al Maktoum International Airport</t>
  </si>
  <si>
    <t>Abu Dhabi Airport - Arabian Ranches Hotel Transfer</t>
  </si>
  <si>
    <t>Abu Dhabi Airport - Bur Dubai Hotel Transfer</t>
  </si>
  <si>
    <t>Abu Dhabi Airport - Deira Hotel Transfer</t>
  </si>
  <si>
    <t>Abu Dhabi Airport - Dubai Harbour Cruise Terminal</t>
  </si>
  <si>
    <t>Abu Dhabi Airport - Dubai Hotel Transfer</t>
  </si>
  <si>
    <t>Abu Dhabi Airport - Dubai International Airport</t>
  </si>
  <si>
    <t>Abu Dhabi Airport - Dubai Marina Transfer</t>
  </si>
  <si>
    <t>Abu Dhabi Airport - Jebel Ali Hotel Transfer</t>
  </si>
  <si>
    <t>Abu Dhabi Airport - Jumeirah Beach Transfer</t>
  </si>
  <si>
    <t>Abu Dhabi Airport - Nad Al Sheba Hotel Transfer</t>
  </si>
  <si>
    <t>Abu Dhabi Airport - The Palm Jumeirah Hotel Transfer</t>
  </si>
  <si>
    <t>Abu Dhabi Hotel Transfer - Dubai International Airport</t>
  </si>
  <si>
    <t>United Arab Emirates, Ajman</t>
  </si>
  <si>
    <t>Ajman Hotel Transfer - Dubai International Airport</t>
  </si>
  <si>
    <t>Ajman Hotel Transfer - Dubai Port</t>
  </si>
  <si>
    <t>United Arab Emirates, Al Ain</t>
  </si>
  <si>
    <t>Al Maha Resort - Dubai International Airport</t>
  </si>
  <si>
    <t>Al Maha Resort - Dubai Port</t>
  </si>
  <si>
    <t>Al Barsha Hotel Transfer - Abu Dhabi Airport</t>
  </si>
  <si>
    <t>Al Maktoum International Airport - Abu Dhabi Airport</t>
  </si>
  <si>
    <t>Arabian Ranches Hotel Transfer - Abu Dhabi Airport</t>
  </si>
  <si>
    <t>Bur Dubai Hotel Transfer - Abu Dhabi Airport</t>
  </si>
  <si>
    <t>Deira Hotel Transfer - Abu Dhabi Airport</t>
  </si>
  <si>
    <t>Dubai Harbour Cruise Terminal - Abu Dhabi Airport</t>
  </si>
  <si>
    <t>Dubai Hotel Transfer - Abu Dhabi Airport</t>
  </si>
  <si>
    <t>Dubai International Airport - Abu Dhabi Airport</t>
  </si>
  <si>
    <t>Dubai International Airport - Abu Dhabi Hotel Transfer</t>
  </si>
  <si>
    <t>Dubai Marina Transfer - Abu Dhabi Airport</t>
  </si>
  <si>
    <t>Jebel Ali Hotel Transfer - Abu Dhabi Airport</t>
  </si>
  <si>
    <t>Jumeirah Beach Transfer - Abu Dhabi Airport</t>
  </si>
  <si>
    <t>Nad Al Sheba Hotel Transfer - Abu Dhabi Airport</t>
  </si>
  <si>
    <t>The Palm Jumeirah Hotel Transfer - Abu Dhabi Airport</t>
  </si>
  <si>
    <t>Dubai International Airport - Ajman Hotel Transfer</t>
  </si>
  <si>
    <t>Dubai Port - Ajman Hotel Transfer</t>
  </si>
  <si>
    <t>Dubai International Airport - Al Maha Resort</t>
  </si>
  <si>
    <t>Dubai Port - Al Maha Resort</t>
  </si>
  <si>
    <t>Al Barsha Hotel Transfer - Dubai International Airport</t>
  </si>
  <si>
    <t>Al Barsha Hotel Transfer - Dubai Port</t>
  </si>
  <si>
    <t>Al Maktoum International Airport - Dubai International Airport</t>
  </si>
  <si>
    <t>Al Maktoum International Airport - Dubai Port</t>
  </si>
  <si>
    <t>Al Mamzar Hotel Transfer - Dubai International Airport</t>
  </si>
  <si>
    <t>Al Mamzar Hotel Transfer - Dubai Port</t>
  </si>
  <si>
    <t>Al Sufouh Hotel Transfer - Dubai International Airport</t>
  </si>
  <si>
    <t>Al Sufouh Hotel Transfer - Dubai Port</t>
  </si>
  <si>
    <t>Al Warqaa Hotel Transfer - Dubai International Airport</t>
  </si>
  <si>
    <t>Al Warqaa Hotel Transfer - Dubai Port</t>
  </si>
  <si>
    <t>Arabian Ranches Hotel Transfer - Dubai International Airport</t>
  </si>
  <si>
    <t>Arabian Ranches Hotel Transfer - Dubai Port</t>
  </si>
  <si>
    <t>Bab Al Shams Resort - Dubai International Airport</t>
  </si>
  <si>
    <t>Bab Al Shams Resort - Dubai Port</t>
  </si>
  <si>
    <t>Barsha Heights Hotel Transfer - Dubai International Airport</t>
  </si>
  <si>
    <t>Barsha Heights Hotel Transfer - Dubai Port</t>
  </si>
  <si>
    <t>Bur Dubai Hotel Transfer - Dubai International Airport</t>
  </si>
  <si>
    <t>Bur Dubai Hotel Transfer - Dubai Port</t>
  </si>
  <si>
    <t>Burj Al Arab - Dubai International Airport</t>
  </si>
  <si>
    <t>Burj Al Arab - Dubai Port</t>
  </si>
  <si>
    <t>Burj Khalifa - Dubai International Airport</t>
  </si>
  <si>
    <t>Burj Khalifa - Dubai Port</t>
  </si>
  <si>
    <t>City Of Arabia Transfer - Dubai International Airport</t>
  </si>
  <si>
    <t>City Of Arabia Transfer - Dubai Port</t>
  </si>
  <si>
    <t>Deira Hotel Transfer - Dubai International Airport</t>
  </si>
  <si>
    <t>Deira Hotel Transfer - Dubai Port</t>
  </si>
  <si>
    <t>Dubai Festival City Transfer - Dubai International Airport</t>
  </si>
  <si>
    <t>Dubai Festival City Transfer - Dubai Port</t>
  </si>
  <si>
    <t>Dubai Harbour Cruise Terminal - Dubai International Airport</t>
  </si>
  <si>
    <t>Dubai Hotel Transfer - Dubai International Airport</t>
  </si>
  <si>
    <t>Dubai Hotel Transfer - Dubai Port</t>
  </si>
  <si>
    <t>Dubai International Airport - Al Barsha Hotel Transfer</t>
  </si>
  <si>
    <t>Dubai International Airport - Al Maktoum International Airport</t>
  </si>
  <si>
    <t>Dubai International Airport - Al Mamzar Hotel Transfer</t>
  </si>
  <si>
    <t>Dubai International Airport - Al Sufouh Hotel Transfer</t>
  </si>
  <si>
    <t>Dubai International Airport - Al Warqaa Hotel Transfer</t>
  </si>
  <si>
    <t>Dubai International Airport - Arabian Ranches Hotel Transfer</t>
  </si>
  <si>
    <t>Dubai International Airport - Bab Al Shams Resort</t>
  </si>
  <si>
    <t>Dubai International Airport - Barsha Heights Hotel Transfer</t>
  </si>
  <si>
    <t>Dubai International Airport - Bur Dubai Hotel Transfer</t>
  </si>
  <si>
    <t>Dubai International Airport - Burj Al Arab</t>
  </si>
  <si>
    <t>Dubai International Airport - Burj Khalifa</t>
  </si>
  <si>
    <t>Dubai International Airport - City Of Arabia Transfer</t>
  </si>
  <si>
    <t>Dubai International Airport - Deira Hotel Transfer</t>
  </si>
  <si>
    <t>Dubai International Airport - Dubai Festival City Transfer</t>
  </si>
  <si>
    <t>Dubai International Airport - Dubai Harbour Cruise Terminal</t>
  </si>
  <si>
    <t>Dubai International Airport - Dubai Hotel Transfer</t>
  </si>
  <si>
    <t>Dubai International Airport - Dubai Investments Park Transfer</t>
  </si>
  <si>
    <t>Dubai International Airport - Dubai Marina Transfer</t>
  </si>
  <si>
    <t>Dubai International Airport - Dubai Silicon Oasis</t>
  </si>
  <si>
    <t>Dubai International Airport - Dubai Sports City Transfer</t>
  </si>
  <si>
    <t>Dubai International Airport - Emirates Hills Hotel Transfer</t>
  </si>
  <si>
    <t>Dubai International Airport - Jebel Ali Hotel Transfer</t>
  </si>
  <si>
    <t>Dubai International Airport - Jumeirah Beach Transfer</t>
  </si>
  <si>
    <t>Dubai International Airport - Jumeirah Golf Estates</t>
  </si>
  <si>
    <t>Dubai International Airport - Motiongate Dubai</t>
  </si>
  <si>
    <t>Dubai International Airport - Sheikh Zayed Road</t>
  </si>
  <si>
    <t>Dubai International Airport - The Palm Jumeirah Hotel Transfer</t>
  </si>
  <si>
    <t>Dubai Investments Park Transfer - Dubai International Airport</t>
  </si>
  <si>
    <t>Dubai Investments Park Transfer - Dubai Port</t>
  </si>
  <si>
    <t>Dubai Marina Transfer - Dubai International Airport</t>
  </si>
  <si>
    <t>Dubai Marina Transfer - Dubai Port</t>
  </si>
  <si>
    <t>Dubai Port - Al Barsha Hotel Transfer</t>
  </si>
  <si>
    <t>Dubai Port - Al Maktoum International Airport</t>
  </si>
  <si>
    <t>Dubai Port - Al Mamzar Hotel Transfer</t>
  </si>
  <si>
    <t>Dubai Port - Al Sufouh Hotel Transfer</t>
  </si>
  <si>
    <t>Dubai Port - Al Warqaa Hotel Transfer</t>
  </si>
  <si>
    <t>Dubai Port - Arabian Ranches Hotel Transfer</t>
  </si>
  <si>
    <t>Dubai Port - Bab Al Shams Resort</t>
  </si>
  <si>
    <t>Dubai Port - Barsha Heights Hotel Transfer</t>
  </si>
  <si>
    <t>Dubai Port - Bur Dubai Hotel Transfer</t>
  </si>
  <si>
    <t>Dubai Port - Burj Al Arab</t>
  </si>
  <si>
    <t>Dubai Port - Burj Khalifa</t>
  </si>
  <si>
    <t>Dubai Port - City Of Arabia Transfer</t>
  </si>
  <si>
    <t>Dubai Port - Deira Hotel Transfer</t>
  </si>
  <si>
    <t>Dubai Port - Dubai Festival City Transfer</t>
  </si>
  <si>
    <t>Dubai Port - Dubai Hotel Transfer</t>
  </si>
  <si>
    <t>Dubai Port - Dubai Investments Park Transfer</t>
  </si>
  <si>
    <t>Dubai Port - Dubai Marina Transfer</t>
  </si>
  <si>
    <t>Dubai Port - Dubai Silicon Oasis</t>
  </si>
  <si>
    <t>Dubai Port - Dubai Sports City Transfer</t>
  </si>
  <si>
    <t>Dubai Port - Emirates Hills Hotel Transfer</t>
  </si>
  <si>
    <t>Dubai Port - Jebel Ali Hotel Transfer</t>
  </si>
  <si>
    <t>Dubai Port - Jumeirah Beach Transfer</t>
  </si>
  <si>
    <t>Dubai Port - Jumeirah Golf Estates</t>
  </si>
  <si>
    <t>Dubai Port - Motiongate Dubai</t>
  </si>
  <si>
    <t>Dubai Port - Nad Al Sheba Hotel Transfer</t>
  </si>
  <si>
    <t>Dubai Port - Sheikh Zayed Road</t>
  </si>
  <si>
    <t>Dubai Port - The Palm Jumeirah Hotel Transfer</t>
  </si>
  <si>
    <t>Dubai Silicon Oasis - Dubai International Airport</t>
  </si>
  <si>
    <t>Dubai Silicon Oasis - Dubai Port</t>
  </si>
  <si>
    <t>Dubai Sports City Transfer - Dubai International Airport</t>
  </si>
  <si>
    <t>Dubai Sports City Transfer - Dubai Port</t>
  </si>
  <si>
    <t>Emirates Hills Hotel Transfer - Dubai International Airport</t>
  </si>
  <si>
    <t>Emirates Hills Hotel Transfer - Dubai Port</t>
  </si>
  <si>
    <t>Jebel Ali Hotel Transfer - Dubai International Airport</t>
  </si>
  <si>
    <t>Jebel Ali Hotel Transfer - Dubai Port</t>
  </si>
  <si>
    <t>Jumeirah Beach Transfer - Dubai International Airport</t>
  </si>
  <si>
    <t>Jumeirah Beach Transfer - Dubai Port</t>
  </si>
  <si>
    <t>Jumeirah Golf Estates - Dubai International Airport</t>
  </si>
  <si>
    <t>Jumeirah Golf Estates - Dubai Port</t>
  </si>
  <si>
    <t>Motiongate Dubai - Dubai International Airport</t>
  </si>
  <si>
    <t>Motiongate Dubai - Dubai Port</t>
  </si>
  <si>
    <t>Nad Al Sheba Hotel Transfer - Dubai Port</t>
  </si>
  <si>
    <t>Sheikh Zayed Road - Dubai International Airport</t>
  </si>
  <si>
    <t>Sheikh Zayed Road - Dubai Port</t>
  </si>
  <si>
    <t>The Palm Jumeirah Hotel Transfer - Dubai International Airport</t>
  </si>
  <si>
    <t>The Palm Jumeirah Hotel Transfer - Dubai Port</t>
  </si>
  <si>
    <t>United Arab Emirates, Ras Al Khaimah</t>
  </si>
  <si>
    <t>Dubai Port - Al Hamra Village</t>
  </si>
  <si>
    <t>Dubai Port - Bab Al Bahr Hotel Transfer</t>
  </si>
  <si>
    <t>United Arab Emirates, Sharjah</t>
  </si>
  <si>
    <t>Dubai International Airport - Sharjah Hotel Transfer</t>
  </si>
  <si>
    <t>Dubai Port - Sharjah Airport</t>
  </si>
  <si>
    <t>Dubai Port - Sharjah Hotel Transfer</t>
  </si>
  <si>
    <t>United Arab Emirates, Umm Al Quwain</t>
  </si>
  <si>
    <t>Dubai Port - Umm Al Quwain Hotel Transfer</t>
  </si>
  <si>
    <t>Bahrain, Hamala</t>
  </si>
  <si>
    <t>Dubai Airport - Hamala</t>
  </si>
  <si>
    <t>Bahrain, Isa Town</t>
  </si>
  <si>
    <t>Dubai Airport - Isa Town</t>
  </si>
  <si>
    <t>Bahrain, Manama</t>
  </si>
  <si>
    <t>Dubai Airport - Manama</t>
  </si>
  <si>
    <t>Bahrain, Muharraq</t>
  </si>
  <si>
    <t>Dubai Airport - Muharraq</t>
  </si>
  <si>
    <t>Bahrain, Riffa</t>
  </si>
  <si>
    <t>Dubai Airport - Riffa</t>
  </si>
  <si>
    <t>Bahrain, Saar</t>
  </si>
  <si>
    <t>Dubai Airport - Saar</t>
  </si>
  <si>
    <t>Bahrain, Sitra</t>
  </si>
  <si>
    <t>Dubai Airport - Sitra</t>
  </si>
  <si>
    <t>Bahrain, Tubli</t>
  </si>
  <si>
    <t>Dubai Airport - Tubli</t>
  </si>
  <si>
    <t>Bahrain, Um Al Naasan</t>
  </si>
  <si>
    <t>Dubai Airport - Um Al Naasan</t>
  </si>
  <si>
    <t>Bahrain, Zallaq</t>
  </si>
  <si>
    <t>Dubai Airport - Zallaq</t>
  </si>
  <si>
    <t>Croatia, Sisak</t>
  </si>
  <si>
    <t>Dubai Airport - Sisak</t>
  </si>
  <si>
    <t>Croatia, Velika Gorica</t>
  </si>
  <si>
    <t>Dubai Airport - Velika Gorica</t>
  </si>
  <si>
    <t>Croatia, Zagreb</t>
  </si>
  <si>
    <t>Dubai Airport - Zagreb</t>
  </si>
  <si>
    <t>Croatia, Zagreb County</t>
  </si>
  <si>
    <t>Dubai Airport - Zagreb County</t>
  </si>
  <si>
    <t>Iran, Tehran</t>
  </si>
  <si>
    <t>Dubai Airport - Tehran</t>
  </si>
  <si>
    <t>Italy, Bergamo</t>
  </si>
  <si>
    <t>Dubai Airport - Bergamo</t>
  </si>
  <si>
    <t>Italy, Milan Airport</t>
  </si>
  <si>
    <t>Dubai Airport - Milan Airport</t>
  </si>
  <si>
    <t>Kuwait, Al Ahmadi</t>
  </si>
  <si>
    <t>Dubai Airport - Al Ahmadi</t>
  </si>
  <si>
    <t>Kuwait, Al Jahra</t>
  </si>
  <si>
    <t>Dubai Airport - Al Jahra</t>
  </si>
  <si>
    <t>Kuwait, Hawalli</t>
  </si>
  <si>
    <t>Dubai Airport - Hawalli</t>
  </si>
  <si>
    <t>Kuwait, Kuwait</t>
  </si>
  <si>
    <t>Dubai Airport - Kuwait</t>
  </si>
  <si>
    <t>Pakistan, Lahore</t>
  </si>
  <si>
    <t>Dubai Airport - Lahore</t>
  </si>
  <si>
    <t>Saudi Arabia, Uqair</t>
  </si>
  <si>
    <t>Dubai Airport - Uqair</t>
  </si>
  <si>
    <t>Dubai Airport - Ban Phe Pier</t>
  </si>
  <si>
    <t>Thailand, Koh Samet</t>
  </si>
  <si>
    <t>Dubai Airport - Koh Samet</t>
  </si>
  <si>
    <t>Dubai Airport - Pattaya</t>
  </si>
  <si>
    <t>Thailand, Railay</t>
  </si>
  <si>
    <t>Dubai Airport - Railay</t>
  </si>
  <si>
    <t>Dubai Airport - Rayong</t>
  </si>
  <si>
    <t>Dubai Airport - Sattahip</t>
  </si>
  <si>
    <t>Al Hamra Village - Dubai Port</t>
  </si>
  <si>
    <t>Bab Al Bahr Hotel Transfer - Dubai Port</t>
  </si>
  <si>
    <t>Sharjah Airport - Dubai Port</t>
  </si>
  <si>
    <t>Sharjah Hotel Transfer - Dubai International Airport</t>
  </si>
  <si>
    <t>Sharjah Hotel Transfer - Dubai Port</t>
  </si>
  <si>
    <t>Umm Al Quwain Hotel Transfer - Dubai Port</t>
  </si>
  <si>
    <t>USA, Detroit</t>
  </si>
  <si>
    <t>Detroit - Brantford</t>
  </si>
  <si>
    <t>Wainwright - Hinton</t>
  </si>
  <si>
    <t>Wainwright - Winnipeg</t>
  </si>
  <si>
    <t>Vietnam, Binh Duong</t>
  </si>
  <si>
    <t>Vietnam, Da Lat</t>
  </si>
  <si>
    <t>Ben Cat - 190 Xo Viet Nghe Tinh</t>
  </si>
  <si>
    <t>bus | Sleeper 36</t>
  </si>
  <si>
    <t>Ben Cat - 28 Tran Hung Dao</t>
  </si>
  <si>
    <t>Ben Cat - Da Lat Bus Station</t>
  </si>
  <si>
    <t>Ben Cat - Dalat Railway Station</t>
  </si>
  <si>
    <t>Ben Cat - Pham Hong Thai Street</t>
  </si>
  <si>
    <t>Ben Cat - Tram Hanh Cau Dat</t>
  </si>
  <si>
    <t>Thu Dau Mot Binh Duong - 190 Xo Viet Nghe Tinh</t>
  </si>
  <si>
    <t>Thu Dau Mot Binh Duong - 28 Tran Hung Dao</t>
  </si>
  <si>
    <t>Thu Dau Mot Binh Duong - Da Lat Bus Station</t>
  </si>
  <si>
    <t>Thu Dau Mot Binh Duong - Dalat Railway Station</t>
  </si>
  <si>
    <t>Thu Dau Mot Binh Duong - Pham Hong Thai Street</t>
  </si>
  <si>
    <t>Thu Dau Mot Binh Duong - Tram Hanh Cau Dat</t>
  </si>
  <si>
    <t>Vietnam, Lam Dong</t>
  </si>
  <si>
    <t>Ben Cat - Lac Duong Da Lat</t>
  </si>
  <si>
    <t>Thu Dau Mot Binh Duong - Lac Duong Da Lat</t>
  </si>
  <si>
    <t>Vietnam, Binh Thuan</t>
  </si>
  <si>
    <t>Vietnam, Quang Tri</t>
  </si>
  <si>
    <t>Binh Thuan - Dong Ha</t>
  </si>
  <si>
    <t>Binh Thuan - Quang Tri</t>
  </si>
  <si>
    <t>Vietnam, Cam Ranh</t>
  </si>
  <si>
    <t>Cam Ranh Airport - Da Lat</t>
  </si>
  <si>
    <t>charter | SUV 6pax</t>
  </si>
  <si>
    <t>charter | Van 12pax</t>
  </si>
  <si>
    <t>Vietnam, Nha Trang</t>
  </si>
  <si>
    <t>Cam Ranh Airport - Ninh Van Bay</t>
  </si>
  <si>
    <t>Vietnam, Ninh Thuan</t>
  </si>
  <si>
    <t>Cam Ranh Airport - Phan Rang</t>
  </si>
  <si>
    <t>Vietnam, Phu Yen</t>
  </si>
  <si>
    <t>Cam Ranh Airport - Tuy Hoa</t>
  </si>
  <si>
    <t>190 Xo Viet Nghe Tinh - Ben Cat</t>
  </si>
  <si>
    <t>190 Xo Viet Nghe Tinh - Thu Dau Mot Binh Duong</t>
  </si>
  <si>
    <t>Pham Hong Thai Street - Ben Cat</t>
  </si>
  <si>
    <t>Pham Hong Thai Street - Thu Dau Mot Binh Duong</t>
  </si>
  <si>
    <t>Tram Hanh Cau Dat - Ben Cat</t>
  </si>
  <si>
    <t>Tram Hanh Cau Dat - Thu Dau Mot Binh Duong</t>
  </si>
  <si>
    <t>Lien Khuong Airport DLI - Da Lat</t>
  </si>
  <si>
    <t>Vietnam, Dong Nai</t>
  </si>
  <si>
    <t>190 Xo Viet Nghe Tinh - Park 30 4 Bien Hoa</t>
  </si>
  <si>
    <t>bus | VIP 24</t>
  </si>
  <si>
    <t>bus | VIP Luxury 24</t>
  </si>
  <si>
    <t>Da Lat Bus Station - Amata Industrial Park</t>
  </si>
  <si>
    <t>bus | VIP 21</t>
  </si>
  <si>
    <t>Da Lat Bus Station - Tam Hiep Park</t>
  </si>
  <si>
    <t>Pham Hong Thai Street - Park 30 4 Bien Hoa</t>
  </si>
  <si>
    <t>Tram Hanh Cau Dat - Park 30 4 Bien Hoa</t>
  </si>
  <si>
    <t>Vietnam, Ho Chi Minh City</t>
  </si>
  <si>
    <t>190 Xo Viet Nghe Tinh - 144 Nguyen Van Luong</t>
  </si>
  <si>
    <t>190 Xo Viet Nghe Tinh - Binh Phuoc intersection</t>
  </si>
  <si>
    <t>190 Xo Viet Nghe Tinh - Binh Thanh</t>
  </si>
  <si>
    <t>190 Xo Viet Nghe Tinh - District 10</t>
  </si>
  <si>
    <t>190 Xo Viet Nghe Tinh - District 5</t>
  </si>
  <si>
    <t>190 Xo Viet Nghe Tinh - Suoi Tien</t>
  </si>
  <si>
    <t>190 Xo Viet Nghe Tinh - Tan Binh</t>
  </si>
  <si>
    <t>Da Lat - Ho Chi Minh</t>
  </si>
  <si>
    <t>bus | Limousine 9</t>
  </si>
  <si>
    <t>Da Lat Bus Station - 147 Le Hong Phong</t>
  </si>
  <si>
    <t>Da Lat Bus Station - Mien Tay Office</t>
  </si>
  <si>
    <t>Pham Hong Thai Street - 144 Nguyen Van Luong</t>
  </si>
  <si>
    <t>Pham Hong Thai Street - Binh Phuoc intersection</t>
  </si>
  <si>
    <t>Pham Hong Thai Street - Binh Thanh</t>
  </si>
  <si>
    <t>Pham Hong Thai Street - District 10</t>
  </si>
  <si>
    <t>Pham Hong Thai Street - District 5</t>
  </si>
  <si>
    <t>Pham Hong Thai Street - Suoi Tien</t>
  </si>
  <si>
    <t>Pham Hong Thai Street - Tan Binh</t>
  </si>
  <si>
    <t>Tram Hanh Cau Dat - 144 Nguyen Van Luong</t>
  </si>
  <si>
    <t>Tram Hanh Cau Dat - Binh Phuoc intersection</t>
  </si>
  <si>
    <t>Tram Hanh Cau Dat - Binh Thanh</t>
  </si>
  <si>
    <t>Tram Hanh Cau Dat - District 10</t>
  </si>
  <si>
    <t>Tram Hanh Cau Dat - District 5</t>
  </si>
  <si>
    <t>Tram Hanh Cau Dat - Suoi Tien</t>
  </si>
  <si>
    <t>Tram Hanh Cau Dat - Tan Binh</t>
  </si>
  <si>
    <t>Lien Khuong Airport DLI - Nha Trang</t>
  </si>
  <si>
    <t>Lien Khuong Airport DLI - Phan Rang</t>
  </si>
  <si>
    <t>Vietnam, Da Nang</t>
  </si>
  <si>
    <t>90 Hoang Thi Loan - Da Lat Bus Station</t>
  </si>
  <si>
    <t>bus | VIP 22</t>
  </si>
  <si>
    <t>bus | VIP 32</t>
  </si>
  <si>
    <t>Da Nang - 26 Pham Ngu Lao</t>
  </si>
  <si>
    <t>41 February 3rd Street - Danava Travel 16 Road 32</t>
  </si>
  <si>
    <t>Da Nang Airport - Ba Na Hills</t>
  </si>
  <si>
    <t>Da Nang Airport - Danang City Center</t>
  </si>
  <si>
    <t>Da Nang Bus Central Station - 255 Le Thach</t>
  </si>
  <si>
    <t>bus | Limousine + Single Cabin</t>
  </si>
  <si>
    <t>Danang Airport - Ba Na Hills</t>
  </si>
  <si>
    <t>Danang Airport - Hai Chau District</t>
  </si>
  <si>
    <t>Danang Airport - Hyatt Regency Danang Resort</t>
  </si>
  <si>
    <t>Danang Airport - InterContinental Danang Sun Peninsula Resort</t>
  </si>
  <si>
    <t>Danang Airport - Mikazuki Japanese Resorts</t>
  </si>
  <si>
    <t>Danang Airport - Ngu Hanh Son</t>
  </si>
  <si>
    <t>Vietnam, Dong Hoi</t>
  </si>
  <si>
    <t>SDT Da Nang Office - Thang Long Hotel</t>
  </si>
  <si>
    <t>bus | Local Cabin</t>
  </si>
  <si>
    <t>Vietnam, Hanoi</t>
  </si>
  <si>
    <t>255 Le Thach - 11 Tran Dai Nghia</t>
  </si>
  <si>
    <t>255 Le Thach - 12 Pham Van Dong</t>
  </si>
  <si>
    <t>41 February 3rd Street - 1 Nguyen Hoang My Dinh</t>
  </si>
  <si>
    <t>bus | VIP 34</t>
  </si>
  <si>
    <t>41 February 3rd Street - 114 Tran Nhat Duat Street</t>
  </si>
  <si>
    <t>41 February 3rd Street - My Dinh Bus Station</t>
  </si>
  <si>
    <t>65 February 3rd Street - 459 Tran Khat Chan</t>
  </si>
  <si>
    <t>bus | Cabin 32</t>
  </si>
  <si>
    <t>95 Hoang Thi Loan - 160 Tran Vy</t>
  </si>
  <si>
    <t>96 Hoang Thi Loan - 160 Tran Vy</t>
  </si>
  <si>
    <t>96 Hoang Thi Loan - My Dinh office</t>
  </si>
  <si>
    <t>Da Nang Bus Central Station - 11 Tran Dai Nghia</t>
  </si>
  <si>
    <t>Da Nang Bus Central Station - 12 Pham Van Dong</t>
  </si>
  <si>
    <t>Da Nang Bus Central Station - 160 Tran Vy</t>
  </si>
  <si>
    <t>Da Nang Bus Central Station - My Dinh office</t>
  </si>
  <si>
    <t>Da Nang Bus Central Station - University of Languages</t>
  </si>
  <si>
    <t>Da Nang Bus Station - 12 Pham Van Dong</t>
  </si>
  <si>
    <t>Danang HAV Limo - 11 Tran Dai Nghia</t>
  </si>
  <si>
    <t>SDT Da Nang Office - Nuoc Ngam Hanoi</t>
  </si>
  <si>
    <t>Da Nang - An Suong Office</t>
  </si>
  <si>
    <t>Vietnam, Hoi An</t>
  </si>
  <si>
    <t>41 February 3rd Street - 105 Ton Duc Thang</t>
  </si>
  <si>
    <t>41 February 3rd Street - 23 Nguyen Tat Thanh</t>
  </si>
  <si>
    <t>A La Carte Danang Beach - Hoi An 487 Hai Ba Trung street</t>
  </si>
  <si>
    <t>bus | AC Seater</t>
  </si>
  <si>
    <t>Da Nang Airport - Hoi An</t>
  </si>
  <si>
    <t>Da Nang Airport - Hoi An Old Town Bus Stop at 01 Dao Duy Tu street</t>
  </si>
  <si>
    <t>Da Nang City Center at Cham Museum - Hoi An An Bang Beach</t>
  </si>
  <si>
    <t>bus | Express 16</t>
  </si>
  <si>
    <t>Da Nang City Center at Cham Museum - Hoi An Old Town Bus Stop at 01 Dao Duy Tu street</t>
  </si>
  <si>
    <t>Da Nang International Airport - Hoi An An Bang Beach</t>
  </si>
  <si>
    <t>Da Nang International Airport - Hoi An Old Town Bus Stop at 01 Dao Duy Tu street</t>
  </si>
  <si>
    <t>Danava Travel 16 Road 32 - 23 Nguyen Tat Thanh</t>
  </si>
  <si>
    <t>Holiday Beach Da Nang Station - Hoi An 487 Hai Ba Trung street</t>
  </si>
  <si>
    <t>Holiday Beach Da Nang Station - Hoi An Old Town Bus Stop at 01 Dao Duy Tu street</t>
  </si>
  <si>
    <t>Vietnam, Hue</t>
  </si>
  <si>
    <t>41 February 3rd Street - 44 Chu van An Street</t>
  </si>
  <si>
    <t>41 February 3rd Street - 7 Doi Cung Hue</t>
  </si>
  <si>
    <t>41 February 3rd Street - Benly Cafe 3 Doi Cung</t>
  </si>
  <si>
    <t>41 February 3rd Street - Benly Coffee</t>
  </si>
  <si>
    <t>65 February 3rd Street - 86 Nguyen Sinh Cung</t>
  </si>
  <si>
    <t>73 Nguyen Tuong Pho - 26 Nguyen Hue</t>
  </si>
  <si>
    <t>bus | Double Cabin</t>
  </si>
  <si>
    <t>bus | Lower Single Cabin</t>
  </si>
  <si>
    <t>bus | Upper Single Cabin</t>
  </si>
  <si>
    <t>A La Carte Danang Beach - Hue 45 Le Loi street</t>
  </si>
  <si>
    <t>bus | VIP Limousine 11</t>
  </si>
  <si>
    <t>Da Nang - 07 Doi Cung</t>
  </si>
  <si>
    <t>bus | Van + Sleeper VIP 34</t>
  </si>
  <si>
    <t>Da Nang Airport - Chan May Port</t>
  </si>
  <si>
    <t>Da Nang Airport - Hue</t>
  </si>
  <si>
    <t>Da Nang Airport - Hue 45 Le Loi street</t>
  </si>
  <si>
    <t>Da Nang City - Hue City Center</t>
  </si>
  <si>
    <t>Da Nang City Center at Cham Museum - Hue 45 Le Loi street</t>
  </si>
  <si>
    <t>Danang Airport - Hue City Center</t>
  </si>
  <si>
    <t>Danava Travel - Benly Cafe</t>
  </si>
  <si>
    <t>Danava Travel - Hue Northern Bus Station</t>
  </si>
  <si>
    <t>Danava Travel - Nguyen Hoang Bus Station</t>
  </si>
  <si>
    <t>Danava Travel - Toa Kham Marina</t>
  </si>
  <si>
    <t>Holiday Beach Da Nang Station - Hue 45 Le Loi street</t>
  </si>
  <si>
    <t>My Khe Beach at Ebisu Sushi Restaurant - 07 Doi Cung</t>
  </si>
  <si>
    <t>My Khe Beach at Ebisu Sushi Restaurant - Hue 45 Le Loi street</t>
  </si>
  <si>
    <t>70 Hoang Van Thai - 271 Nguyen Tu Luc</t>
  </si>
  <si>
    <t>bus | VIP Bus</t>
  </si>
  <si>
    <t>Vietnam, Mui Ne</t>
  </si>
  <si>
    <t>Da Nang - Mui Ne Hanh Cafe</t>
  </si>
  <si>
    <t>bus | VIP 33</t>
  </si>
  <si>
    <t>Da Nang Central Bus Station - Nha Trang Nothern Bus Station</t>
  </si>
  <si>
    <t>bus | Sleeper 44 Express</t>
  </si>
  <si>
    <t>Da Nang Central Bus Station - Nha Trang Southern Bus Station</t>
  </si>
  <si>
    <t>Da Nang Hanh Cafe Office - 32 Hung Vuong</t>
  </si>
  <si>
    <t>bus | Sleeper 41</t>
  </si>
  <si>
    <t>Vietnam, Ninh Binh</t>
  </si>
  <si>
    <t>255 Le Thach - Mikes Travel Agency</t>
  </si>
  <si>
    <t>255 Le Thach - Ninh Phong Ninh Binh</t>
  </si>
  <si>
    <t>255 Le Thach - Tam Coc NinhBinh</t>
  </si>
  <si>
    <t>28 February 3rd Street - Mikes Travel Agency</t>
  </si>
  <si>
    <t>bus | Sleeper 38</t>
  </si>
  <si>
    <t>28 February 3rd Street - Mr Khanh Travel Agency Ninh Binh</t>
  </si>
  <si>
    <t>bus | Limousine 32</t>
  </si>
  <si>
    <t>41 February 3rd Street - Mikes Travel Agency</t>
  </si>
  <si>
    <t>41 February 3rd Street - Mr Khanh Travel Agency Ninh Binh</t>
  </si>
  <si>
    <t>41 February 3rd Street - Ninh Phong Ninh Binh</t>
  </si>
  <si>
    <t>65 February 3rd Street - Ninh Binh Central Hotel</t>
  </si>
  <si>
    <t>95 Hoang Thi Loan - Ninh Phong Ninh Binh</t>
  </si>
  <si>
    <t>96 Hoang Thi Loan - Ninh Phong Ninh Binh</t>
  </si>
  <si>
    <t>96 Hoang Thi Loan - Tam Coc NinhBinh</t>
  </si>
  <si>
    <t>Da Nang Bus Central Station - Mikes Travel Agency</t>
  </si>
  <si>
    <t>Da Nang Bus Central Station - Ninh Phong Ninh Binh</t>
  </si>
  <si>
    <t>Da Nang Bus Central Station - Tam Coc</t>
  </si>
  <si>
    <t>Da Nang Bus Central Station - Tam Coc NinhBinh</t>
  </si>
  <si>
    <t>Da Nang Bus Station - Mikes Travel Agency</t>
  </si>
  <si>
    <t>Da Nang Bus Station - Ninh Phong Ninh Binh</t>
  </si>
  <si>
    <t>Da Nang Bus Station - Tam Coc NinhBinh</t>
  </si>
  <si>
    <t>Vietnam, Phong Nha</t>
  </si>
  <si>
    <t>255 Le Thach - Central Backpackers Hostel Phong Nha</t>
  </si>
  <si>
    <t>255 Le Thach - Nam Anh Hotel</t>
  </si>
  <si>
    <t>255 Le Thach - Thien Phu Hostel</t>
  </si>
  <si>
    <t>41 February 3rd Street - Nam Anh Hotel</t>
  </si>
  <si>
    <t>Da Nang - Nam Anh Hotel</t>
  </si>
  <si>
    <t>Da Nang Airport - Phong Nha Cave</t>
  </si>
  <si>
    <t>Da Nang Bus Station - Central Backpackers Hostel Phong Nha</t>
  </si>
  <si>
    <t>Da Nang Bus Station - Nam Anh Hotel</t>
  </si>
  <si>
    <t>Da Nang Bus Station - Thien Phu Hostel</t>
  </si>
  <si>
    <t>My Khe Beach at Ebisu Sushi Restaurant - Nam Anh Hotel</t>
  </si>
  <si>
    <t>SDT Da Nang Office - SDT Phong Nha Office</t>
  </si>
  <si>
    <t>Vietnam, Quang Ninh</t>
  </si>
  <si>
    <t>96 Hoang Thi Loan - Tbus Halong</t>
  </si>
  <si>
    <t>96 Hoang Thi Loan - Tbus Tuanchau</t>
  </si>
  <si>
    <t>Da Nang - Tbus Halong</t>
  </si>
  <si>
    <t>Da Nang - Tuan Chau</t>
  </si>
  <si>
    <t>Da Nang Bus Central Station - Tbus Halong</t>
  </si>
  <si>
    <t>Da Nang Bus Central Station - Tbus Tuanchau</t>
  </si>
  <si>
    <t>My Khe Beach at Ebisu Sushi Restaurant - Tbus Halong</t>
  </si>
  <si>
    <t>My Khe Beach at Ebisu Sushi Restaurant - Tuan Chau</t>
  </si>
  <si>
    <t>Vietnam, Quy Nhon</t>
  </si>
  <si>
    <t>90 Hoang Thi Loan - 234 Tay Son</t>
  </si>
  <si>
    <t>Vietnam, Tam Coc</t>
  </si>
  <si>
    <t>SDT Da Nang Office - Gold Hotel Ninh Binh</t>
  </si>
  <si>
    <t>Vietnam, Dao Cat Ba</t>
  </si>
  <si>
    <t>217 Mot Thang Tu - Luxury no78 Tran Quang Khai</t>
  </si>
  <si>
    <t>Thang Long Hotel - SDT Da Nang Office</t>
  </si>
  <si>
    <t>Thang Long Hotel - Nuoc Ngam Hanoi</t>
  </si>
  <si>
    <t>Thang Long Hotel - Pool Side Villa</t>
  </si>
  <si>
    <t>bus | Local cabin + Van</t>
  </si>
  <si>
    <t>Thang Long Hotel - Gas Station 24</t>
  </si>
  <si>
    <t>Thang Long Hotel - Gold Hotel Ninh Binh</t>
  </si>
  <si>
    <t>Park 30 4 Bien Hoa - 190 Xo Viet Nghe Tinh</t>
  </si>
  <si>
    <t>Park 30 4 Bien Hoa - 28 Tran Hung Dao</t>
  </si>
  <si>
    <t>Park 30 4 Bien Hoa - Da Lat Bus Station</t>
  </si>
  <si>
    <t>Park 30 4 Bien Hoa - Dalat Railway Station</t>
  </si>
  <si>
    <t>Park 30 4 Bien Hoa - Pham Hong Thai Street</t>
  </si>
  <si>
    <t>Park 30 4 Bien Hoa - Tram Hanh Cau Dat</t>
  </si>
  <si>
    <t>Park 30 4 Bien Hoa - Lac Duong Da Lat</t>
  </si>
  <si>
    <t>Vietnam, Gia Lai</t>
  </si>
  <si>
    <t>Vietnam, Khanh Hoa</t>
  </si>
  <si>
    <t>Hoang Anh Gia Lai - Nha Trang</t>
  </si>
  <si>
    <t>Hoang Anh Gia Lai - 77 Thai Nguyen Nha Trang</t>
  </si>
  <si>
    <t>Vietnam, Ha Giang</t>
  </si>
  <si>
    <t>Dong Van Bus Station - Ha Giang Bang Phan</t>
  </si>
  <si>
    <t>bus | Ford 16 Express</t>
  </si>
  <si>
    <t>Dong Van Bus Station - Ha Giang Bus Station</t>
  </si>
  <si>
    <t>Dong Van Bus Station - Tbus Ha Giang Office</t>
  </si>
  <si>
    <t>Vietnam, Hai Phong</t>
  </si>
  <si>
    <t>GMCB - 228 1I4 Street</t>
  </si>
  <si>
    <t>bus | Limousine 18 + Tourist bus 34</t>
  </si>
  <si>
    <t>Ha Giang Hostel - 175a 1I4 Street</t>
  </si>
  <si>
    <t>Ha Giang Hostel - Cat Ba SSB</t>
  </si>
  <si>
    <t>Ha Giang Hostel - CATBAGO Booking Office</t>
  </si>
  <si>
    <t>bus | Semi Sleeper</t>
  </si>
  <si>
    <t>bus | Sleeper 38 Express</t>
  </si>
  <si>
    <t>bus | VIP</t>
  </si>
  <si>
    <t>bus | VIP 38</t>
  </si>
  <si>
    <t>Ha Giang Moment Homestay - 211 Nui Ngoc</t>
  </si>
  <si>
    <t>Ha Giang Moment Homestay - Cat Ba SSB</t>
  </si>
  <si>
    <t>Hagiang Hostel AK Group Tour - CATBAGO Booking Office</t>
  </si>
  <si>
    <t>Hagiang Hostel AK Group Tour - HAIPHONG LUXURY</t>
  </si>
  <si>
    <t>Tan Quang - CATBAGO Booking Office</t>
  </si>
  <si>
    <t>Vietnam, Halong Bay</t>
  </si>
  <si>
    <t>Ha Giang Hostel - Boarding point Ruby Cruise</t>
  </si>
  <si>
    <t>Ha Giang Hostel - Tuan Chau Luxxury SSB</t>
  </si>
  <si>
    <t>100 Tran Phu Ha Giang - 04 Hang Chinh Maison Mackeno</t>
  </si>
  <si>
    <t>Ha Giang Hostel - 04 Hang Chinh Maison Mackeno</t>
  </si>
  <si>
    <t>Ha Giang Hostel - 16 Hang Chinh Hanoi</t>
  </si>
  <si>
    <t>Ha Giang Hostel - Hanoi My Dinh</t>
  </si>
  <si>
    <t>bus | VIP 18 Express</t>
  </si>
  <si>
    <t>bus | VIP 20</t>
  </si>
  <si>
    <t>Ha Giang Hostel - Hanoi Noi Bai Airport</t>
  </si>
  <si>
    <t>Hagiang Hostel AK Group Tour - Hanoi Noi Bai Airport</t>
  </si>
  <si>
    <t>bus | VIP16 Express</t>
  </si>
  <si>
    <t>Tan Quang - Hanoi SSB</t>
  </si>
  <si>
    <t>Ha Giang Bus Station - Go Long Bien</t>
  </si>
  <si>
    <t>Vietnam, Lao Cai</t>
  </si>
  <si>
    <t>Ha Giang Hostel - 418 Dien Bien Phu</t>
  </si>
  <si>
    <t>bus | Cabin 34</t>
  </si>
  <si>
    <t>bus | Limousine 18</t>
  </si>
  <si>
    <t>32 Nguyen Trai Street - Break Time Coffee Tam Coc</t>
  </si>
  <si>
    <t>Vietnam, Noi Bai Airport</t>
  </si>
  <si>
    <t>Ha Giang Hostel - Noi Bai Airport</t>
  </si>
  <si>
    <t>bus | Cabin 24</t>
  </si>
  <si>
    <t>Ha Giang Hostel - Phongnha Luxury SSB</t>
  </si>
  <si>
    <t>bus | Bus + Bus</t>
  </si>
  <si>
    <t>Hagiang Hostel AK Group Tour - Phongnha Luxury SSB</t>
  </si>
  <si>
    <t>Ha Giang Hostel - Tung Luxury Hotel Ha Long</t>
  </si>
  <si>
    <t>Hagiang Hostel AK Group Tour - Toyota Quang Ninh</t>
  </si>
  <si>
    <t>Vietnam, Ha Nam</t>
  </si>
  <si>
    <t>Ha Nam - Hoi An</t>
  </si>
  <si>
    <t>Ha Nam - Phu Yen</t>
  </si>
  <si>
    <t>Phu Ly - Tuy Hoa</t>
  </si>
  <si>
    <t>Vietnam, Saigon</t>
  </si>
  <si>
    <t>Ha Nam - Saigon</t>
  </si>
  <si>
    <t>Vietnam, Ha Tinh</t>
  </si>
  <si>
    <t>Ha Tinh - Khanh Hoa</t>
  </si>
  <si>
    <t>Ha Tinh - Saigon</t>
  </si>
  <si>
    <t>175a 1I4 Street - Ha Giang Hostel</t>
  </si>
  <si>
    <t>228 1I4 Street - GMCB</t>
  </si>
  <si>
    <t>CATBA 175A - Ha Giang Hostel</t>
  </si>
  <si>
    <t>Catba Station SSB - Ha Giang Hostel</t>
  </si>
  <si>
    <t>CATBAGO Booking Office - Ha Giang Hostel</t>
  </si>
  <si>
    <t>CATBAGO Booking Office - Hagiang Hostel AK Group Tour</t>
  </si>
  <si>
    <t>CATBAGO Booking Office - Tan Quang</t>
  </si>
  <si>
    <t>HAIPHONG LUXURY - Hagiang Hostel AK Group Tour</t>
  </si>
  <si>
    <t>61 Hung Vuong Street - Boarding point Ruby Cruise</t>
  </si>
  <si>
    <t>Cat Ba SSB - Tuan Chau Luxxury SSB</t>
  </si>
  <si>
    <t>bus | Express 36</t>
  </si>
  <si>
    <t>175a 1I4 Street - 04 Hang Chinh Maison Mackeno</t>
  </si>
  <si>
    <t>175a 1I4 Street - 16 Hang Chinh Hanoi</t>
  </si>
  <si>
    <t>61 Hung Vuong Street - Hanoi SSB</t>
  </si>
  <si>
    <t>Cat Ba Buffalo Hostel - Big C Long Bien</t>
  </si>
  <si>
    <t>Cat Ba SSB - Hanoi Noi Bai Airport</t>
  </si>
  <si>
    <t>Cat Ba SSB - Hanoi SSB</t>
  </si>
  <si>
    <t>CATBAGO Booking Office - Hanoi SSB</t>
  </si>
  <si>
    <t>HAIPHONG LUXURY - 939 Giai phong Street</t>
  </si>
  <si>
    <t>bus | AC Air Bus</t>
  </si>
  <si>
    <t>HAIPHONG LUXURY - Hanoi My Dinh</t>
  </si>
  <si>
    <t>HAIPHONG LUXURY - Hanoi SSB</t>
  </si>
  <si>
    <t>Catba Station SSB - Bac Ha SSB</t>
  </si>
  <si>
    <t>Vietnam, Mu Cang Chai</t>
  </si>
  <si>
    <t>CATBAGO Booking Office - Nga Ba Kim Market</t>
  </si>
  <si>
    <t>CATBAGO Booking Office - Tu Le Luxury SSB</t>
  </si>
  <si>
    <t>CATBAGO Booking Office - Vua Xu Mu Cafe</t>
  </si>
  <si>
    <t>175a 1I4 Street - Noi Bai Airport</t>
  </si>
  <si>
    <t>CATBAGO Booking Office - Noibai Airport</t>
  </si>
  <si>
    <t>CATBA 175A - Halong SB1</t>
  </si>
  <si>
    <t>Vietnam, Sapa</t>
  </si>
  <si>
    <t>175a 1I4 Street - 23 Le Thanh Street</t>
  </si>
  <si>
    <t>175a 1I4 Street - 582 Duong Dien Bien Phu</t>
  </si>
  <si>
    <t>211 Nui Ngoc - 582 Duong Dien Bien Phu</t>
  </si>
  <si>
    <t>228 1I4 Street - Sapa Bus Stop</t>
  </si>
  <si>
    <t>bus | VIP Cabin + Tourist Bus</t>
  </si>
  <si>
    <t>61 Hung Vuong Street - Sapa SSB</t>
  </si>
  <si>
    <t>Cat Ba Buffalo Hostel - Ket Doan Travel SP</t>
  </si>
  <si>
    <t>Cat Ba SSB - 582 Duong Dien Bien Phu</t>
  </si>
  <si>
    <t>CATBA 175A - Sapa SSB</t>
  </si>
  <si>
    <t>Catba Station SSB - Sapa SSB</t>
  </si>
  <si>
    <t>CATBAGO Booking Office - 582 Duong Dien Bien Phu</t>
  </si>
  <si>
    <t>CATBAGO Booking Office - Sapa SSB</t>
  </si>
  <si>
    <t>HAIPHONG LUXURY - Sapa SSB</t>
  </si>
  <si>
    <t>Boarding point Ruby Cruise - Ha Giang Hostel</t>
  </si>
  <si>
    <t>bus | Bus + Van</t>
  </si>
  <si>
    <t>Boarding point Ruby Cruise - Tan Quang</t>
  </si>
  <si>
    <t>Tuan Chau Luxxury SSB - Ha Giang Hostel</t>
  </si>
  <si>
    <t>Tuan Chau Luxxury SSB - Hagiang Hostel AK Group Tour</t>
  </si>
  <si>
    <t>Boarding point Ruby Cruise - 61 Hung Vuong Street</t>
  </si>
  <si>
    <t>Boarding point Ruby Cruise - CATBA 175A</t>
  </si>
  <si>
    <t>Boarding point Ruby Cruise - 04 Hang Chinh Maison Mackeno</t>
  </si>
  <si>
    <t>Boarding point Ruby Cruise - 16 Hang Chinh Hanoi</t>
  </si>
  <si>
    <t>Boarding point Ruby Cruise - Hanoi SSB</t>
  </si>
  <si>
    <t>Tuan Chau Luxxury SSB - Hanoi SSB</t>
  </si>
  <si>
    <t>B118 Anh Dao Pho Co Bai Chay - Pho Co Hoa Lu</t>
  </si>
  <si>
    <t>B118 Anh Dao Pho Co Bai Chay - Trang An Boat Station</t>
  </si>
  <si>
    <t>Boarding point Ruby Cruise - Noi Bai Airport</t>
  </si>
  <si>
    <t>Tuan Chau Luxxury SSB - Noibai Airport</t>
  </si>
  <si>
    <t>Boarding point Ruby Cruise - 23 Le Thanh Street</t>
  </si>
  <si>
    <t>Boarding point Ruby Cruise - 582 Duong Dien Bien Phu</t>
  </si>
  <si>
    <t>Boarding point Ruby Cruise - Sapa SSB</t>
  </si>
  <si>
    <t>Tuan Chau Luxxury SSB - Sapa SSB</t>
  </si>
  <si>
    <t>12 Pham Van Dong - 255 Le Thach</t>
  </si>
  <si>
    <t>12 Pham Van Dong - Ba Na Hills Golden Bridge</t>
  </si>
  <si>
    <t>12 Pham Van Dong - Da Nang Bus Central Station</t>
  </si>
  <si>
    <t>12 Pham Van Dong - My Khe Beach at Ebisu Sushi Restaurant</t>
  </si>
  <si>
    <t>204 Tran Quang Khai - 28 February 3rd Street</t>
  </si>
  <si>
    <t>459 Tran Khat Chan - 65 February 3rd Street</t>
  </si>
  <si>
    <t>Duc Duong Office Ha noi - 28 February 3rd Street</t>
  </si>
  <si>
    <t>Duc Duong Office Ha noi - 41 February 3rd Street</t>
  </si>
  <si>
    <t>Parking lot Cuaong Limousine - Danava Travel</t>
  </si>
  <si>
    <t>bus | Luxury Sleeper 34</t>
  </si>
  <si>
    <t>Parking lot Cuaong Limousine - Danava Travel 16 Road 32</t>
  </si>
  <si>
    <t>SDT Hanoi Office - Da Nang An Phu</t>
  </si>
  <si>
    <t>T Travel - 28 February 3rd Street</t>
  </si>
  <si>
    <t>T Travel - 41 February 3rd Street</t>
  </si>
  <si>
    <t>SDT Hanoi Office - Thang Long Hotel</t>
  </si>
  <si>
    <t>04 Hang Chinh Maison Mackeno - Ha Giang Hostel</t>
  </si>
  <si>
    <t>16 Hang Chinh Hanoi - Ha Giang Hostel</t>
  </si>
  <si>
    <t>Hanoi - Ha Giang</t>
  </si>
  <si>
    <t>Hanoi Noi Bai Airport - Ha Giang Hostel</t>
  </si>
  <si>
    <t>Hanoi SSB - 100 Tran Phu Ha Giang</t>
  </si>
  <si>
    <t>Hanoi SSB - Ha Giang Hostel</t>
  </si>
  <si>
    <t>Hanoi SSB - Tan Quang</t>
  </si>
  <si>
    <t>Noi Bai Airport - Ha Giang</t>
  </si>
  <si>
    <t>Noi Bai Domestic Airport T1 - Ha Giang Hostel</t>
  </si>
  <si>
    <t>Go Long Bien - Ha Giang Bus Station</t>
  </si>
  <si>
    <t>04 Hang Chinh Maison Mackeno - Cat Ba SSB</t>
  </si>
  <si>
    <t>939 Giai phong Street - HAIPHONG LUXURY</t>
  </si>
  <si>
    <t>Hanoi - Hai Phong Port</t>
  </si>
  <si>
    <t>Hanoi SSB - 211 Nui Ngoc</t>
  </si>
  <si>
    <t>Hanoi SSB - Cat Ba SSB</t>
  </si>
  <si>
    <t>Hanoi SSB - CATBAGO Booking Office</t>
  </si>
  <si>
    <t>Hanoi SSB - HAIPHONG LUXURY</t>
  </si>
  <si>
    <t>Noi Bai Airport - Hai Phong Port</t>
  </si>
  <si>
    <t>Hanoi SSB - Boarding point Ruby Cruise</t>
  </si>
  <si>
    <t>Hanoi SSB - Tuan Chau Luxxury SSB</t>
  </si>
  <si>
    <t>04 Hang Chinh Maison Mackeno - Hanoi Noi Bai Airport</t>
  </si>
  <si>
    <t>van | Private Van 4pax</t>
  </si>
  <si>
    <t>Hanoi - Hanoi City Center Transfer</t>
  </si>
  <si>
    <t>Noi Bai Airport - Hanoi City Center Transfer</t>
  </si>
  <si>
    <t>12 Pham Van Dong - 105 Ton Duc Thang</t>
  </si>
  <si>
    <t>12 Pham Van Dong - 137 Tran Nhan Tong</t>
  </si>
  <si>
    <t>12 Pham Van Dong - 23 Nguyen Tat Thanh</t>
  </si>
  <si>
    <t>12 Pham Van Dong - Highlands Coffee</t>
  </si>
  <si>
    <t>12 Pham Van Dong - Hoi An An Bang Beach</t>
  </si>
  <si>
    <t>12 Pham Van Dong - Song Hoai Square</t>
  </si>
  <si>
    <t>204 Tran Quang Khai - 105 Ton Duc Thang</t>
  </si>
  <si>
    <t>459 Tran Khat Chan - 137 Tran Nhan Tong</t>
  </si>
  <si>
    <t>Duc Duong Office Ha noi - 105 Ton Duc Thang</t>
  </si>
  <si>
    <t>Duc Duong Office Ha noi - 23 Nguyen Tat Thanh</t>
  </si>
  <si>
    <t>Parking lot Cuaong Limousine - 23 Nguyen Tat Thanh</t>
  </si>
  <si>
    <t>SDT Hanoi Office - Vinh Duc Hospital</t>
  </si>
  <si>
    <t>T Travel - 105 Ton Duc Thang</t>
  </si>
  <si>
    <t>T Travel - 23 Nguyen Tat Thanh</t>
  </si>
  <si>
    <t>12 Pham Van Dong - 174 Ba Trieu</t>
  </si>
  <si>
    <t>12 Pham Van Dong - 2 Lam Hoang Vy Da</t>
  </si>
  <si>
    <t>12 Pham Van Dong - 44 Chu van An Street</t>
  </si>
  <si>
    <t>12 Pham Van Dong - 7 Doi Cung Hue</t>
  </si>
  <si>
    <t>12 Pham Van Dong - 86 Nguyen Sinh Cung</t>
  </si>
  <si>
    <t>12 Pham Van Dong - Hue Northern Bus Station</t>
  </si>
  <si>
    <t>12 Pham Van Dong - Hue Railway Station</t>
  </si>
  <si>
    <t>12 Pham Van Dong - Nguyen Hoang Bus Station</t>
  </si>
  <si>
    <t>12 Pham Van Dong - Toa Kham Marina</t>
  </si>
  <si>
    <t>204 Tran Quang Khai - 7 Doi Cung Hue</t>
  </si>
  <si>
    <t>459 Tran Khat Chan - 86 Nguyen Sinh Cung</t>
  </si>
  <si>
    <t>Duc Duong Office Ha noi - 38 Le Loi</t>
  </si>
  <si>
    <t>Duc Duong Office Ha noi - 44 Chu van An Street</t>
  </si>
  <si>
    <t>Duc Duong Office Ha noi - 7 Doi Cung Hue</t>
  </si>
  <si>
    <t>Duc Duong Office Ha noi - Benly Coffee</t>
  </si>
  <si>
    <t>Duc Duong Office Ha noi - Hue Northern Bus Station</t>
  </si>
  <si>
    <t>Parking lot Cuaong Limousine - Benly Cafe</t>
  </si>
  <si>
    <t>Parking lot Cuaong Limousine - Benly Cafe 3 Doi Cung</t>
  </si>
  <si>
    <t>SDT Hanoi Office - Gas Station 24</t>
  </si>
  <si>
    <t>T Travel - 38 Le Loi</t>
  </si>
  <si>
    <t>T Travel - 44 Chu van An Street</t>
  </si>
  <si>
    <t>T Travel - 7 Doi Cung Hue</t>
  </si>
  <si>
    <t>T Travel - Benly Coffee</t>
  </si>
  <si>
    <t>T Travel - Hue Northern Bus Station</t>
  </si>
  <si>
    <t>Hanoi Noi Bai Airport - 494 Duong Dien Bien Phu</t>
  </si>
  <si>
    <t>van | Van 9pax</t>
  </si>
  <si>
    <t>Hanoi Opera House - 494 Duong Dien Bien Phu</t>
  </si>
  <si>
    <t>Hanoi Opera House - Bus Sapa 494 Dien Bien Phu</t>
  </si>
  <si>
    <t>bus | Minibus 12</t>
  </si>
  <si>
    <t>Vietnam, Mai Chau</t>
  </si>
  <si>
    <t>Hanoi - Mai Chau Hoa Binh</t>
  </si>
  <si>
    <t>Noi Bai Airport - Mai Chau Hoa Binh</t>
  </si>
  <si>
    <t>04 Hang Chinh Maison Mackeno - Tu Le Luxury SSB</t>
  </si>
  <si>
    <t>04 Hang Chinh Maison Mackeno - Vua Xu Mu Cafe</t>
  </si>
  <si>
    <t>Hanoi SSB - Mu Cang Chai SSB</t>
  </si>
  <si>
    <t>Hanoi SSB - Nga Ba Kim Market</t>
  </si>
  <si>
    <t>Hanoi SSB - Tu Le Luxury SSB</t>
  </si>
  <si>
    <t>Hanoi SSB - Vua Xu Mu Cafe</t>
  </si>
  <si>
    <t>Hanoi - Trang An</t>
  </si>
  <si>
    <t>Hanoi City Center Transfer - Tam Coc</t>
  </si>
  <si>
    <t>Hanoi City Center Transfer - Trang An</t>
  </si>
  <si>
    <t>Noi Bai Airport - Trang An</t>
  </si>
  <si>
    <t>12 Pham Van Dong - Central Backpackers Hostel Phong Nha</t>
  </si>
  <si>
    <t>12 Pham Van Dong - Nam Anh Hotel</t>
  </si>
  <si>
    <t>12 Pham Van Dong - Thien Phu Hostel</t>
  </si>
  <si>
    <t>204 Tran Quang Khai - Central Backpackers Hostel Phong Nha</t>
  </si>
  <si>
    <t>459 Tran Khat Chan - Thien Phu Hostel</t>
  </si>
  <si>
    <t>Duc Duong Office Ha noi - Central Backpackers Hostel Phong Nha</t>
  </si>
  <si>
    <t>Duc Duong Office Ha noi - Nam Anh Hotel</t>
  </si>
  <si>
    <t>Duc Duong Office Ha noi - Thien Phu Hostel</t>
  </si>
  <si>
    <t>T Travel - Central Backpackers Hostel Phong Nha</t>
  </si>
  <si>
    <t>T Travel - Nam Anh Hotel</t>
  </si>
  <si>
    <t>T Travel - Thien Phu Hostel</t>
  </si>
  <si>
    <t>04 Hang Chinh Maison Mackeno - Toyota Quang Ninh</t>
  </si>
  <si>
    <t>bus | VIP 12pax</t>
  </si>
  <si>
    <t>162 Tran Quang Khai - Halong International Cruise Port</t>
  </si>
  <si>
    <t>bus | Limousine</t>
  </si>
  <si>
    <t>162 Tran Quang Khai - Tuan Chau Harbour</t>
  </si>
  <si>
    <t>AEON Long Bien - Halong International Cruise Port</t>
  </si>
  <si>
    <t>AEON Long Bien - Tuan Chau Harbour</t>
  </si>
  <si>
    <t>Hanoi - Ha Long</t>
  </si>
  <si>
    <t>Hanoi Opera House - Halong International Cruise Port</t>
  </si>
  <si>
    <t>Hanoi Opera House - Tuan Chau Harbour</t>
  </si>
  <si>
    <t>Hanoi SSB - Halong SB1</t>
  </si>
  <si>
    <t>Noi Bai Airport - Ha Long</t>
  </si>
  <si>
    <t>Vietnam National Museum of History - Halong International Cruise Port</t>
  </si>
  <si>
    <t>Vietnam National Museum of History - Tuan Chau Harbour</t>
  </si>
  <si>
    <t>04 Hang Chinh Maison Mackeno - 23 Le Thanh Street</t>
  </si>
  <si>
    <t>04 Hang Chinh Maison Mackeno - 582 Duong Dien Bien Phu</t>
  </si>
  <si>
    <t>114 Tran Nhat Duat Street - Sapa SSB1</t>
  </si>
  <si>
    <t>16 Hang Chinh Hanoi - 23 Le Thanh Street</t>
  </si>
  <si>
    <t>16 Hang Chinh Hanoi - 582 Duong Dien Bien Phu</t>
  </si>
  <si>
    <t>Go Long Bien - Ket Doan Travel SP</t>
  </si>
  <si>
    <t>Hanoi - Sapa</t>
  </si>
  <si>
    <t>Hanoi - Sapa Lao Cai</t>
  </si>
  <si>
    <t>train | VIP Sleeper 4x</t>
  </si>
  <si>
    <t>Hanoi Noi Bai Airport - Sapa SSB</t>
  </si>
  <si>
    <t>Hanoi SSB - 23 Le Thanh Street</t>
  </si>
  <si>
    <t>Hanoi SSB - Sapa SSB</t>
  </si>
  <si>
    <t>Noi Bai Airport - Sapa</t>
  </si>
  <si>
    <t>Vietnam, Yen Bai</t>
  </si>
  <si>
    <t>04 Hang Chinh Maison Mackeno - Nghia Lo Petrol Station</t>
  </si>
  <si>
    <t>303 Pham Ngu Lao - Japan And Khmer Hospital</t>
  </si>
  <si>
    <t>bus | VIP 16</t>
  </si>
  <si>
    <t>303 Pham Ngu Lao - Phnom Penh Night Market</t>
  </si>
  <si>
    <t>bus | Air Bus</t>
  </si>
  <si>
    <t>Vietnam, Ben Tre</t>
  </si>
  <si>
    <t>Ho Chi Minh - Ben Tre City</t>
  </si>
  <si>
    <t>Ho Chi Minh City Airport - Ben Tre City</t>
  </si>
  <si>
    <t>Ho Chi Minh - Thu Dau Mot</t>
  </si>
  <si>
    <t>Ho Chi Minh City Airport - Thu Dau Mot</t>
  </si>
  <si>
    <t>Ho Chi Minh - Cam Ranh</t>
  </si>
  <si>
    <t>Ho Chi Minh City Airport - Cam Ranh</t>
  </si>
  <si>
    <t>Vietnam, Can Tho</t>
  </si>
  <si>
    <t>Ho Chi Minh - Can Tho</t>
  </si>
  <si>
    <t>Ho Chi Minh City Airport - Can Tho</t>
  </si>
  <si>
    <t>144 Nguyen Van Luong - 190 Xo Viet Nghe Tinh</t>
  </si>
  <si>
    <t>144 Nguyen Van Luong - 28 Tran Hung Dao</t>
  </si>
  <si>
    <t>144 Nguyen Van Luong - Da Lat Bus Station</t>
  </si>
  <si>
    <t>144 Nguyen Van Luong - Dalat Railway Station</t>
  </si>
  <si>
    <t>144 Nguyen Van Luong - Pham Hong Thai Street</t>
  </si>
  <si>
    <t>144 Nguyen Van Luong - Tram Hanh Cau Dat</t>
  </si>
  <si>
    <t>147 Le Hong Phong - Da Lat Bus Station</t>
  </si>
  <si>
    <t>Binh Phuoc intersection - 190 Xo Viet Nghe Tinh</t>
  </si>
  <si>
    <t>Binh Phuoc intersection - 28 Tran Hung Dao</t>
  </si>
  <si>
    <t>Binh Phuoc intersection - Da Lat Bus Station</t>
  </si>
  <si>
    <t>Binh Phuoc intersection - Dalat Railway Station</t>
  </si>
  <si>
    <t>Binh Phuoc intersection - Pham Hong Thai Street</t>
  </si>
  <si>
    <t>Binh Phuoc intersection - Tram Hanh Cau Dat</t>
  </si>
  <si>
    <t>Binh Thanh - 190 Xo Viet Nghe Tinh</t>
  </si>
  <si>
    <t>Binh Thanh - 28 Tran Hung Dao</t>
  </si>
  <si>
    <t>Binh Thanh - Da Lat Bus Station</t>
  </si>
  <si>
    <t>Binh Thanh - Dalat Railway Station</t>
  </si>
  <si>
    <t>Binh Thanh - Pham Hong Thai Street</t>
  </si>
  <si>
    <t>Binh Thanh - Tram Hanh Cau Dat</t>
  </si>
  <si>
    <t>District 10 - 190 Xo Viet Nghe Tinh</t>
  </si>
  <si>
    <t>District 10 - Da Lat Bus Station</t>
  </si>
  <si>
    <t>District 10 - Pham Hong Thai Street</t>
  </si>
  <si>
    <t>District 10 - Tram Hanh Cau Dat</t>
  </si>
  <si>
    <t>District 5 - 190 Xo Viet Nghe Tinh</t>
  </si>
  <si>
    <t>District 5 - 28 Tran Hung Dao</t>
  </si>
  <si>
    <t>District 5 - Da Lat Bus Station</t>
  </si>
  <si>
    <t>District 5 - Dalat Railway Station</t>
  </si>
  <si>
    <t>District 5 - Pham Hong Thai Street</t>
  </si>
  <si>
    <t>District 5 - Tram Hanh Cau Dat</t>
  </si>
  <si>
    <t>Ho Chi Minh - Da Lat</t>
  </si>
  <si>
    <t>Ho Chi Minh City Airport - Da Lat</t>
  </si>
  <si>
    <t>Mien Tay Office - Da Lat Bus Station</t>
  </si>
  <si>
    <t>Suoi Tien - 190 Xo Viet Nghe Tinh</t>
  </si>
  <si>
    <t>Suoi Tien - 28 Tran Hung Dao</t>
  </si>
  <si>
    <t>Suoi Tien - Da Lat Bus Station</t>
  </si>
  <si>
    <t>Suoi Tien - Dalat Railway Station</t>
  </si>
  <si>
    <t>Suoi Tien - Pham Hong Thai Street</t>
  </si>
  <si>
    <t>Suoi Tien - Tram Hanh Cau Dat</t>
  </si>
  <si>
    <t>Tan Binh - 190 Xo Viet Nghe Tinh</t>
  </si>
  <si>
    <t>Tan Binh - 28 Tran Hung Dao</t>
  </si>
  <si>
    <t>Tan Binh - Da Lat Bus Station</t>
  </si>
  <si>
    <t>Tan Binh - Dalat Railway Station</t>
  </si>
  <si>
    <t>Tan Binh - Pham Hong Thai Street</t>
  </si>
  <si>
    <t>Tan Binh - Tram Hanh Cau Dat</t>
  </si>
  <si>
    <t>273 Pham Ngu Lao - Da Nang Hanh Cafe Office</t>
  </si>
  <si>
    <t>An Suong Bus Station - 70 Hoang Van Thai</t>
  </si>
  <si>
    <t>Ho Chi Minh - Bien Hoa</t>
  </si>
  <si>
    <t>Ho Chi Minh - Nam Cat Tien Park</t>
  </si>
  <si>
    <t>Ho Chi Minh City Airport - Bien Hoa</t>
  </si>
  <si>
    <t>Ho Chi Minh City Airport - Nam Cat Tien Park</t>
  </si>
  <si>
    <t>Ho Chi Minh - Ho Chi Minh City Center</t>
  </si>
  <si>
    <t>Ho Chi Minh - Ho Chi Minh Urban Area</t>
  </si>
  <si>
    <t>Ho Chi Minh City Airport - Ho Chi Minh City Center</t>
  </si>
  <si>
    <t>Ho Chi Minh City Airport - Ho Chi Minh Urban Area</t>
  </si>
  <si>
    <t>Tan Son Nhat Airport - Ho Chi Minh city centre</t>
  </si>
  <si>
    <t>Tan Son Nhat Airport - Ho Chi Minh Urban Area</t>
  </si>
  <si>
    <t>Tan Son Nhat Airport - Tan Son Nhat Airport</t>
  </si>
  <si>
    <t>273 Pham Ngu Lao - Hoi An Hanh Cafe</t>
  </si>
  <si>
    <t>273 Pham Ngu Lao - 28 Chu Van An</t>
  </si>
  <si>
    <t>An Suong Bus Station - Ben xe Phia Nam Hue</t>
  </si>
  <si>
    <t>Mien Dong Moi - Ben xe Phia Nam Hue</t>
  </si>
  <si>
    <t>99 Nguyen Cu Trinh - 9 Le Duan</t>
  </si>
  <si>
    <t>bus | Single Cabin</t>
  </si>
  <si>
    <t>144 Nguyen Van Luong - Lac Duong Da Lat</t>
  </si>
  <si>
    <t>147 Le Hong Phong - Ben Xe Da Thien</t>
  </si>
  <si>
    <t>147 Le Hong Phong - Di Linh Bus Station</t>
  </si>
  <si>
    <t>147 Le Hong Phong - Duc Trong</t>
  </si>
  <si>
    <t>Binh Phuoc intersection - Lac Duong Da Lat</t>
  </si>
  <si>
    <t>Binh Thanh - Lac Duong Da Lat</t>
  </si>
  <si>
    <t>District 10 - Lac Duong Da Lat</t>
  </si>
  <si>
    <t>District 5 - Lac Duong Da Lat</t>
  </si>
  <si>
    <t>Mien Tay Office - Ben Xe Da Thien</t>
  </si>
  <si>
    <t>Mien Tay Office - Di Linh Bus Station</t>
  </si>
  <si>
    <t>Mien Tay Office - Duc Trong</t>
  </si>
  <si>
    <t>Suoi Tien - Lac Duong Da Lat</t>
  </si>
  <si>
    <t>Tan Binh - Lac Duong Da Lat</t>
  </si>
  <si>
    <t>317 Pham Ngu Lao - 117 Nguyen Dinh Chieu</t>
  </si>
  <si>
    <t>Ho Chi Minh - Mui Ne</t>
  </si>
  <si>
    <t>Ho Chi Minh City Airport - Mui Ne</t>
  </si>
  <si>
    <t>Vietnam, My Tho</t>
  </si>
  <si>
    <t>Ho Chi Minh - My Tho</t>
  </si>
  <si>
    <t>Ho Chi Minh City Airport - My Tho</t>
  </si>
  <si>
    <t>273 Pham Ngu Lao - 32 Hung Vuong</t>
  </si>
  <si>
    <t>273 Pham Ngu Lao - 53 Le Thanh Phuong</t>
  </si>
  <si>
    <t>273 Pham Ngu Lao - Panorama Nha Trang Hotel</t>
  </si>
  <si>
    <t>317 Pham Ngu Lao - Phi Yen Muong Thanh 04 Apartment</t>
  </si>
  <si>
    <t>99 Nguyen Cu Trinh - Nha Trang Binh Minh Office</t>
  </si>
  <si>
    <t>Ho Chi Minh - Nha Trang</t>
  </si>
  <si>
    <t>Ho Chi Minh City Airport - Nha Trang</t>
  </si>
  <si>
    <t>Ho Chi Minh - Phan Rang</t>
  </si>
  <si>
    <t>Ho Chi Minh City Airport - Phan Rang</t>
  </si>
  <si>
    <t>Ben xe Mien Tay - 234 Tay Son</t>
  </si>
  <si>
    <t>Vietnam, Tay Ninh</t>
  </si>
  <si>
    <t>Ho Chi Minh - Moc Bai</t>
  </si>
  <si>
    <t>Ho Chi Minh - Tay Ninh</t>
  </si>
  <si>
    <t>Ho Chi Minh City Airport - Moc Bai</t>
  </si>
  <si>
    <t>Ho Chi Minh City Airport - Tay Ninh</t>
  </si>
  <si>
    <t>Vietnam, Vung Tau</t>
  </si>
  <si>
    <t>Ho Chi Minh - Vung Tau</t>
  </si>
  <si>
    <t>Ho Chi Minh City Airport - Vung Tau</t>
  </si>
  <si>
    <t>Pool Side Villa - Da Lat Bus Station</t>
  </si>
  <si>
    <t>103 Ton Duc Thang - 70 Hoang Van Thai</t>
  </si>
  <si>
    <t>23 Nguyen Tat Thanh - 41 February 3rd Street</t>
  </si>
  <si>
    <t>23 Nguyen Tat Thanh - Danava Travel 16 Road 32</t>
  </si>
  <si>
    <t>Hoi An 487 Hai Ba Trung street - A La Carte Danang Beach</t>
  </si>
  <si>
    <t>Hoi An 487 Hai Ba Trung street - Holiday Beach Da Nang Station</t>
  </si>
  <si>
    <t>Hoi An An Bang Beach - Da Nang City Center at Cham Museum</t>
  </si>
  <si>
    <t>Hoi An An Bang Beach - Da Nang International Airport</t>
  </si>
  <si>
    <t>Hoi An Old Town Bus Stop at 01 Dao Duy Tu street - A La Carte Danang Beach</t>
  </si>
  <si>
    <t>Hoi An Old Town Bus Stop at 01 Dao Duy Tu street - Da Nang City Center at Cham Museum</t>
  </si>
  <si>
    <t>Hoi An Old Town Bus Stop at 01 Dao Duy Tu street - Da Nang International Airport</t>
  </si>
  <si>
    <t>Hoi An Old Town Bus Stop at 01 Dao Duy Tu street - Holiday Beach Da Nang Station</t>
  </si>
  <si>
    <t>Tbus Hoian - Danava Travel</t>
  </si>
  <si>
    <t>SDT Hoi An Office - Thang Long Hotel</t>
  </si>
  <si>
    <t>105 Ton Duc Thang - 12 Pham Van Dong</t>
  </si>
  <si>
    <t>105 Ton Duc Thang - My Dinh Bus Station</t>
  </si>
  <si>
    <t>137 Tran Nhan Tong - 459 Tran Khat Chan</t>
  </si>
  <si>
    <t>23 Nguyen Tat Thanh - 1 Nguyen Hoang My Dinh</t>
  </si>
  <si>
    <t>23 Nguyen Tat Thanh - 114 Tran Nhat Duat Street</t>
  </si>
  <si>
    <t>23 Nguyen Tat Thanh - My Dinh Bus Station</t>
  </si>
  <si>
    <t>Hoi An An Phu - 04 Hang Chinh Maison Mackeno</t>
  </si>
  <si>
    <t>Hoi An An Phu - Hanoi SSB</t>
  </si>
  <si>
    <t>SDT Hoi An Office - Nuoc Ngam Hanoi</t>
  </si>
  <si>
    <t>445 Hai Ba Trung - Mien Dong Moi</t>
  </si>
  <si>
    <t>Hoi An Office 95 Thich Quang Duc - An Suong Bus Station</t>
  </si>
  <si>
    <t>105 Ton Duc Thang - 44 Chu van An Street</t>
  </si>
  <si>
    <t>137 Tran Nhan Tong - 86 Nguyen Sinh Cung</t>
  </si>
  <si>
    <t>23 Nguyen Tat Thanh - 07 Doi Cung</t>
  </si>
  <si>
    <t>23 Nguyen Tat Thanh - 44 Chu van An Street</t>
  </si>
  <si>
    <t>23 Nguyen Tat Thanh - 7 Doi Cung Hue</t>
  </si>
  <si>
    <t>23 Nguyen Tat Thanh - Benly Cafe</t>
  </si>
  <si>
    <t>23 Nguyen Tat Thanh - Benly Cafe 3 Doi Cung</t>
  </si>
  <si>
    <t>23 Nguyen Tat Thanh - Benly Coffee</t>
  </si>
  <si>
    <t>23 Nguyen Tat Thanh - Hue Northern Bus Station</t>
  </si>
  <si>
    <t>23 Nguyen Tat Thanh - Nguyen Hoang Bus Station</t>
  </si>
  <si>
    <t>23 Nguyen Tat Thanh - Toa Kham Marina</t>
  </si>
  <si>
    <t>Pool Side Villa - 26 Nguyen Hue</t>
  </si>
  <si>
    <t>103 Ton Duc Thang - 271 Nguyen Tu Luc</t>
  </si>
  <si>
    <t>445 Hai Ba Trung - Nha Trang Nothern Bus Station</t>
  </si>
  <si>
    <t>445 Hai Ba Trung - Nha Trang Southern Bus Station</t>
  </si>
  <si>
    <t>Pool Side Villa - 34 Thich Quang Duc</t>
  </si>
  <si>
    <t>105 Ton Duc Thang - Mikes Travel Agency</t>
  </si>
  <si>
    <t>105 Ton Duc Thang - Mr Khanh Travel Agency Ninh Binh</t>
  </si>
  <si>
    <t>105 Ton Duc Thang - Ninh Phong Ninh Binh</t>
  </si>
  <si>
    <t>105 Ton Duc Thang - Tam Coc NinhBinh</t>
  </si>
  <si>
    <t>137 Tran Nhan Tong - Ninh Binh Central Hotel</t>
  </si>
  <si>
    <t>23 Nguyen Tat Thanh - Mikes Travel Agency</t>
  </si>
  <si>
    <t>23 Nguyen Tat Thanh - Mr Khanh Travel Agency Ninh Binh</t>
  </si>
  <si>
    <t>23 Nguyen Tat Thanh - Ninh Phong Ninh Binh</t>
  </si>
  <si>
    <t>Hoi An An Phu - Ninh Binh Luxury SSB</t>
  </si>
  <si>
    <t>Hoi An An Phu - The Long Hotel Tam Coc</t>
  </si>
  <si>
    <t>105 Ton Duc Thang - Central Backpackers Hostel Phong Nha</t>
  </si>
  <si>
    <t>105 Ton Duc Thang - Nam Anh Hotel</t>
  </si>
  <si>
    <t>105 Ton Duc Thang - Thien Phu Hostel</t>
  </si>
  <si>
    <t>23 Nguyen Tat Thanh - Nam Anh Hotel</t>
  </si>
  <si>
    <t>SDT Hoi An Office - SDT Phong Nha Office</t>
  </si>
  <si>
    <t>23 Nguyen Tat Thanh - Tbus Halong</t>
  </si>
  <si>
    <t>23 Nguyen Tat Thanh - Tuan Chau</t>
  </si>
  <si>
    <t>SDT Hoi An Office - Gold Hotel Ninh Binh</t>
  </si>
  <si>
    <t>44 Chu van An Street - 26 Pham Ngu Lao</t>
  </si>
  <si>
    <t>26 Nguyen Hue - 73 Nguyen Tuong Pho</t>
  </si>
  <si>
    <t>7 Doi Cung Hue - 41 February 3rd Street</t>
  </si>
  <si>
    <t>86 Nguyen Sinh Cung - 65 February 3rd Street</t>
  </si>
  <si>
    <t>Ben xe Phia Nam Hue - 70 Hoang Van Thai</t>
  </si>
  <si>
    <t>Benly Cafe 3 Doi Cung - 41 February 3rd Street</t>
  </si>
  <si>
    <t>Benly Cafe 3 Doi Cung - Danava Travel 16 Road 32</t>
  </si>
  <si>
    <t>Benly Coffee - 41 February 3rd Street</t>
  </si>
  <si>
    <t>Hue 45 Le Loi street - A La Carte Danang Beach</t>
  </si>
  <si>
    <t>Hue 45 Le Loi street - Da Nang Airport</t>
  </si>
  <si>
    <t>Hue 45 Le Loi street - Holiday Beach Da Nang Station</t>
  </si>
  <si>
    <t>Hue 45 Le Loi street - My Khe Beach at Ebisu Sushi Restaurant</t>
  </si>
  <si>
    <t>Hue City - Da Nang City</t>
  </si>
  <si>
    <t>Hue City - Danang City Center</t>
  </si>
  <si>
    <t>Hue City Center - Da Nang Beach</t>
  </si>
  <si>
    <t>Hue City Center - Da Nang City</t>
  </si>
  <si>
    <t>SDT Hue Office - Thang Long Hotel</t>
  </si>
  <si>
    <t>2 Lam Hoang Vy Da - 12 Pham Van Dong</t>
  </si>
  <si>
    <t>44 Chu van An Street - 1 Nguyen Hoang My Dinh</t>
  </si>
  <si>
    <t>44 Chu van An Street - 114 Tran Nhat Duat Street</t>
  </si>
  <si>
    <t>44 Chu van An Street - My Dinh Bus Station</t>
  </si>
  <si>
    <t>7 Doi Cung Hue - 1 Nguyen Hoang My Dinh</t>
  </si>
  <si>
    <t>7 Doi Cung Hue - 114 Tran Nhat Duat Street</t>
  </si>
  <si>
    <t>78 Tran Quang Khai - Hanoi SSB</t>
  </si>
  <si>
    <t>86 Nguyen Sinh Cung - 459 Tran Khat Chan</t>
  </si>
  <si>
    <t>Benly Coffee - 1 Nguyen Hoang My Dinh</t>
  </si>
  <si>
    <t>Benly Coffee - 114 Tran Nhat Duat Street</t>
  </si>
  <si>
    <t>Hue Northern Bus Station - 12 Pham Van Dong</t>
  </si>
  <si>
    <t>Hue Phu Bai - 12 Pham Van Dong</t>
  </si>
  <si>
    <t>SDT Hue Office - Nuoc Ngam Hanoi</t>
  </si>
  <si>
    <t>44 Chu van An Street - An Suong Office</t>
  </si>
  <si>
    <t>Ben xe Phia Nam Hue - An Suong Bus Station</t>
  </si>
  <si>
    <t>26 Nguyen Hue - Pool Side Villa</t>
  </si>
  <si>
    <t>44 Chu van An Street - 105 Ton Duc Thang</t>
  </si>
  <si>
    <t>44 Chu van An Street - 23 Nguyen Tat Thanh</t>
  </si>
  <si>
    <t>7 Doi Cung Hue - 105 Ton Duc Thang</t>
  </si>
  <si>
    <t>7 Doi Cung Hue - 23 Nguyen Tat Thanh</t>
  </si>
  <si>
    <t>86 Nguyen Sinh Cung - 137 Tran Nhan Tong</t>
  </si>
  <si>
    <t>Benly Cafe 3 Doi Cung - 23 Nguyen Tat Thanh</t>
  </si>
  <si>
    <t>Benly Coffee - 105 Ton Duc Thang</t>
  </si>
  <si>
    <t>Benly Coffee - 23 Nguyen Tat Thanh</t>
  </si>
  <si>
    <t>44 Chu van An Street - 4 Hoang Dieu Da lat</t>
  </si>
  <si>
    <t>44 Chu van An Street - Mui Ne Hanh Cafe</t>
  </si>
  <si>
    <t>28 Chu Van An - 32 Hung Vuong</t>
  </si>
  <si>
    <t>44 Chu van An Street - 34 Thich Quang Duc</t>
  </si>
  <si>
    <t>2 Lam Hoang Vy Da - Mikes Travel Agency</t>
  </si>
  <si>
    <t>2 Lam Hoang Vy Da - Ninh Phong Ninh Binh</t>
  </si>
  <si>
    <t>2 Lam Hoang Vy Da - Tam Coc NinhBinh</t>
  </si>
  <si>
    <t>44 Chu van An Street - Mikes Travel Agency</t>
  </si>
  <si>
    <t>44 Chu van An Street - Mr Khanh Travel Agency Ninh Binh</t>
  </si>
  <si>
    <t>44 Chu van An Street - Ninh Phong Ninh Binh</t>
  </si>
  <si>
    <t>7 Doi Cung Hue - Mikes Travel Agency</t>
  </si>
  <si>
    <t>7 Doi Cung Hue - Mr Khanh Travel Agency Ninh Binh</t>
  </si>
  <si>
    <t>7 Doi Cung Hue - Ninh Phong Ninh Binh</t>
  </si>
  <si>
    <t>78 Tran Quang Khai - Ninh Binh Luxury SSB</t>
  </si>
  <si>
    <t>78 Tran Quang Khai - Ninh Binh SSB</t>
  </si>
  <si>
    <t>86 Nguyen Sinh Cung - Mr Khanh Travel Agency Ninh Binh</t>
  </si>
  <si>
    <t>86 Nguyen Sinh Cung - Ninh Binh Central Hotel</t>
  </si>
  <si>
    <t>86 Nguyen Sinh Cung - Tam Coc NinhBinh</t>
  </si>
  <si>
    <t>86 Nguyen Sinh Cung - The Long Hotel Tam Coc</t>
  </si>
  <si>
    <t>Benly Coffee - Mikes Travel Agency</t>
  </si>
  <si>
    <t>Benly Coffee - Mr Khanh Travel Agency Ninh Binh</t>
  </si>
  <si>
    <t>Benly Coffee - Ninh Phong Ninh Binh</t>
  </si>
  <si>
    <t>Hue Northern Bus Station - Ninh Phong Ninh Binh</t>
  </si>
  <si>
    <t>Hue Northern Bus Station - Tam Coc NinhBinh</t>
  </si>
  <si>
    <t>Hue Phu Bai - Ninh Phong Ninh Binh</t>
  </si>
  <si>
    <t>Hue Phu Bai - Tam Coc NinhBinh</t>
  </si>
  <si>
    <t>Hue Vy Da - Ninh Binh</t>
  </si>
  <si>
    <t>Hue Vy Da - The Long Hotel Tam Coc</t>
  </si>
  <si>
    <t>2 Lam Hoang Vy Da - Central Backpackers Hostel Phong Nha</t>
  </si>
  <si>
    <t>2 Lam Hoang Vy Da - Nam Anh Hotel</t>
  </si>
  <si>
    <t>2 Lam Hoang Vy Da - Thien Phu Hostel</t>
  </si>
  <si>
    <t>44 Chu van An Street - Nam Anh Hotel</t>
  </si>
  <si>
    <t>7 Doi Cung Hue - Nam Anh Hotel</t>
  </si>
  <si>
    <t>86 Nguyen Sinh Cung - Tbus Phongnha</t>
  </si>
  <si>
    <t>86 Nguyen Sinh Cung - Thien Phu Hostel</t>
  </si>
  <si>
    <t>Benly Cafe - Central Backpackers Hostel Phong Nha</t>
  </si>
  <si>
    <t>Benly Cafe - Nam Anh Hotel</t>
  </si>
  <si>
    <t>Benly Cafe - Thien Phu Hostel</t>
  </si>
  <si>
    <t>Benly Coffee - Nam Anh Hotel</t>
  </si>
  <si>
    <t>Hue Northern Bus Station - Central Backpackers Hostel Phong Nha</t>
  </si>
  <si>
    <t>Hue Northern Bus Station - Nam Anh Hotel</t>
  </si>
  <si>
    <t>Hue Northern Bus Station - Thien Phu Hostel</t>
  </si>
  <si>
    <t>Hue Phu Bai - Central Backpackers Hostel Phong Nha</t>
  </si>
  <si>
    <t>Hue Phu Bai - Nam Anh Hotel</t>
  </si>
  <si>
    <t>Hue Phu Bai - Thien Phu Hostel</t>
  </si>
  <si>
    <t>SDT Hue Office - SDT Phong Nha Office</t>
  </si>
  <si>
    <t>07 Doi Cung - Tbus Halong</t>
  </si>
  <si>
    <t>07 Doi Cung - Tuan Chau</t>
  </si>
  <si>
    <t>26 Nguyen Hue - Lao Bao Border Check Point</t>
  </si>
  <si>
    <t>SDT Hue Office - Gold Hotel Ninh Binh</t>
  </si>
  <si>
    <t>Nha Trang - 1040 Hung Vuong</t>
  </si>
  <si>
    <t>Nha Trang - Duc Long Gia Lai Bus Station</t>
  </si>
  <si>
    <t>Nha Trang - Ham Rong</t>
  </si>
  <si>
    <t>Nha Trang - My Thach</t>
  </si>
  <si>
    <t>Khanh Hoa - Ha Tinh</t>
  </si>
  <si>
    <t>Vietnam, Kon Tum</t>
  </si>
  <si>
    <t>Nha Trang - Bo Y International Border Gate</t>
  </si>
  <si>
    <t>Nha Trang - Kon Tum</t>
  </si>
  <si>
    <t>Nha Trang - Ngoc Hoi Bus Station</t>
  </si>
  <si>
    <t>Bo Y International Border Gate - Nha Trang</t>
  </si>
  <si>
    <t>Ngoc Hoi Bus Station - Nha Trang</t>
  </si>
  <si>
    <t>Bo Y International Border Gate - 77 Thai Nguyen Nha Trang</t>
  </si>
  <si>
    <t>Ngoc Hoi Bus Station - 77 Thai Nguyen Nha Trang</t>
  </si>
  <si>
    <t>Lac Duong Da Lat - Ben Cat</t>
  </si>
  <si>
    <t>Lac Duong Da Lat - Thu Dau Mot Binh Duong</t>
  </si>
  <si>
    <t>271 Nguyen Tu Luc - 90 Hoang Thi Loan</t>
  </si>
  <si>
    <t>4 Hoang Dieu - Danang SSB</t>
  </si>
  <si>
    <t>Lac Duong Da Lat - Park 30 4 Bien Hoa</t>
  </si>
  <si>
    <t>Lac Duong Da Lat - 144 Nguyen Van Luong</t>
  </si>
  <si>
    <t>Lac Duong Da Lat - Binh Phuoc intersection</t>
  </si>
  <si>
    <t>Lac Duong Da Lat - Binh Thanh</t>
  </si>
  <si>
    <t>Lac Duong Da Lat - District 10</t>
  </si>
  <si>
    <t>Lac Duong Da Lat - District 5</t>
  </si>
  <si>
    <t>Lac Duong Da Lat - Suoi Tien</t>
  </si>
  <si>
    <t>Lac Duong Da Lat - Tan Binh</t>
  </si>
  <si>
    <t>271 Nguyen Tu Luc - Pool Side Villa</t>
  </si>
  <si>
    <t>4 Hoang Dieu - 23 Nguyen Tat Thanh</t>
  </si>
  <si>
    <t>4 Hoang Dieu - Hue Luxury SSB</t>
  </si>
  <si>
    <t>271 Nguyen Tu Luc - Nha Trang Southern Bus Station</t>
  </si>
  <si>
    <t>4 Hoang Dieu - 34 Thich Quang Duc</t>
  </si>
  <si>
    <t>4 Hoang Dieu - Ninh Binh SSB</t>
  </si>
  <si>
    <t>494 Duong Dien Bien Phu - Hanoi Noi Bai Airport</t>
  </si>
  <si>
    <t>494 Duong Dien Bien Phu - Hanoi Opera House</t>
  </si>
  <si>
    <t>van | Van 12pax</t>
  </si>
  <si>
    <t>Bus Sapa 494 Dien Bien Phu - Hanoi Opera House</t>
  </si>
  <si>
    <t>Nga Ba Kim Market - Big C Long Bien</t>
  </si>
  <si>
    <t>Vua Xu Mu Cafe - Big C Long Bien</t>
  </si>
  <si>
    <t>Mui Ne - Cam Ranh Airport</t>
  </si>
  <si>
    <t>Phan Thiet - Cam Ranh Airport</t>
  </si>
  <si>
    <t>Mui Ne - Da Lat</t>
  </si>
  <si>
    <t>Mui Ne - Lien Khuong Airport DLI</t>
  </si>
  <si>
    <t>Phan Thiet - Da Lat</t>
  </si>
  <si>
    <t>Phan Thiet - Lien Khuong Airport DLI</t>
  </si>
  <si>
    <t>Mui Ne - Ho Chi Minh</t>
  </si>
  <si>
    <t>Mui Ne - Nha Trang</t>
  </si>
  <si>
    <t>Phan Thiet - Nha Trang</t>
  </si>
  <si>
    <t>Mui Ne - Phan Rang</t>
  </si>
  <si>
    <t>Phan Thiet - Phan Rang</t>
  </si>
  <si>
    <t>Mui Ne - Quang Tri</t>
  </si>
  <si>
    <t>Mui Ne - Vung Tau</t>
  </si>
  <si>
    <t>Phan Thiet - Vung Tau</t>
  </si>
  <si>
    <t>Vietnam, Nghe An</t>
  </si>
  <si>
    <t>Vietnam, Bien Hoa</t>
  </si>
  <si>
    <t>Vinh - Bien Hoa</t>
  </si>
  <si>
    <t>Nghe An - Binh Duong</t>
  </si>
  <si>
    <t>28 Nguyen Binh Khiem - 28 February 3rd Street</t>
  </si>
  <si>
    <t>28 Nguyen Binh Khiem - Danang SSB</t>
  </si>
  <si>
    <t>34 Thich Quang Duc - 28 February 3rd Street</t>
  </si>
  <si>
    <t>34 Thich Quang Duc - Da Nang Hanh Cafe Office</t>
  </si>
  <si>
    <t>Nha Trang Nothern Bus Station - Da Nang Central Bus Station</t>
  </si>
  <si>
    <t>Nha Trang Southern Bus Station - Da Nang Central Bus Station</t>
  </si>
  <si>
    <t>77 Thai Nguyen Nha Trang - 1040 Hung Vuong</t>
  </si>
  <si>
    <t>77 Thai Nguyen Nha Trang - Duc Long Gia Lai Bus Station</t>
  </si>
  <si>
    <t>77 Thai Nguyen Nha Trang - Ham Rong</t>
  </si>
  <si>
    <t>77 Thai Nguyen Nha Trang - My Thach</t>
  </si>
  <si>
    <t>106 Phong Chau - 273 Pham Ngu Lao</t>
  </si>
  <si>
    <t>32 Hung Vuong - 273 Pham Ngu Lao</t>
  </si>
  <si>
    <t>53 Le Thanh Phuong - 273 Pham Ngu Lao</t>
  </si>
  <si>
    <t>Nha Trang Southern Bus Station - Mien Tay Bus Station</t>
  </si>
  <si>
    <t>28 Nguyen Binh Khiem - 23 Nguyen Tat Thanh</t>
  </si>
  <si>
    <t>34 Thich Quang Duc - 23 Nguyen Tat Thanh</t>
  </si>
  <si>
    <t>34 Thich Quang Duc - Hoi An Hanh Cafe</t>
  </si>
  <si>
    <t>28 Nguyen Binh Khiem - 44 Chu van An Street</t>
  </si>
  <si>
    <t>34 Thich Quang Duc - 44 Chu van An Street</t>
  </si>
  <si>
    <t>77 Thai Nguyen Nha Trang - Bo Y International Border Gate</t>
  </si>
  <si>
    <t>77 Thai Nguyen Nha Trang - Kon Tum</t>
  </si>
  <si>
    <t>77 Thai Nguyen Nha Trang - Ngoc Hoi Bus Station</t>
  </si>
  <si>
    <t>28 Nguyen Binh Khiem - Ninh Binh SSB</t>
  </si>
  <si>
    <t>32 Hung Vuong - 234 Tay Son</t>
  </si>
  <si>
    <t>bus | VIP 11</t>
  </si>
  <si>
    <t>Mikes Travel Agency - 255 Le Thach</t>
  </si>
  <si>
    <t>bus | VIP Luxury 22</t>
  </si>
  <si>
    <t>Mikes Travel Agency - 28 February 3rd Street</t>
  </si>
  <si>
    <t>Mikes Travel Agency - 41 February 3rd Street</t>
  </si>
  <si>
    <t>Mikes Travel Agency - 445 Hai Phong</t>
  </si>
  <si>
    <t>Mikes Travel Agency - Da Nang Bus Central Station</t>
  </si>
  <si>
    <t>Mikes Travel Agency - My Khe Beach at Ebisu Sushi Restaurant</t>
  </si>
  <si>
    <t>Mr Khanh Travel Agency Ninh Binh - 28 February 3rd Street</t>
  </si>
  <si>
    <t>Mr Khanh Travel Agency Ninh Binh - 41 February 3rd Street</t>
  </si>
  <si>
    <t>SDT Ninh Binh Office - Da Nang An Phu</t>
  </si>
  <si>
    <t>Tam Coc NinhBinh - 255 Le Thach</t>
  </si>
  <si>
    <t>Tam Coc NinhBinh - Ba Na Hills Golden Bridge</t>
  </si>
  <si>
    <t>Tam Coc NinhBinh - Da Nang Bus Central Station</t>
  </si>
  <si>
    <t>Tam Coc NinhBinh - My Khe Beach at Ebisu Sushi Restaurant</t>
  </si>
  <si>
    <t>SDT Ninh Binh Office - Thang Long Hotel</t>
  </si>
  <si>
    <t>Break Time Coffee Tam Coc - 32 Nguyen Trai Street</t>
  </si>
  <si>
    <t>Napolis Pizza Bar Tam Coc Ninh binh - Hagiang Hostel AK Group Tour</t>
  </si>
  <si>
    <t>Ninh Binh SSB - Hagiang Hostel AK Group Tour</t>
  </si>
  <si>
    <t>Ninh Binh SSB - Cat Ba SSB</t>
  </si>
  <si>
    <t>bus | Express 29</t>
  </si>
  <si>
    <t>The Long Hotel Tam Coc - Cat Ba SSB</t>
  </si>
  <si>
    <t>bus | Express 45</t>
  </si>
  <si>
    <t>Trang An Boat Station - Cat Ba SSB</t>
  </si>
  <si>
    <t>bus | Bus 40 seat</t>
  </si>
  <si>
    <t>Trang An Boat Station - Tuan Chau Luxxury SSB</t>
  </si>
  <si>
    <t>Nha Hang 0km Tam Coc - 04 Hang Chinh Maison Mackeno</t>
  </si>
  <si>
    <t>Tam Coc - Hanoi City Center Transfer</t>
  </si>
  <si>
    <t>The Long Hotel Tam Coc - Hanoi SSB</t>
  </si>
  <si>
    <t>Trang An - Hanoi City Center Transfer</t>
  </si>
  <si>
    <t>Mikes Travel Agency - 105 Ton Duc Thang</t>
  </si>
  <si>
    <t>Mikes Travel Agency - 137 Tran Nhan Tong</t>
  </si>
  <si>
    <t>Mikes Travel Agency - 23 Nguyen Tat Thanh</t>
  </si>
  <si>
    <t>Mikes Travel Agency - Highlands Coffee</t>
  </si>
  <si>
    <t>Mikes Travel Agency - Hoi An An Bang Beach</t>
  </si>
  <si>
    <t>Mikes Travel Agency - Song Hoai Square</t>
  </si>
  <si>
    <t>Mr Khanh Travel Agency Ninh Binh - 105 Ton Duc Thang</t>
  </si>
  <si>
    <t>Mr Khanh Travel Agency Ninh Binh - 23 Nguyen Tat Thanh</t>
  </si>
  <si>
    <t>SDT Ninh Binh Office - Vinh Duc Hospital</t>
  </si>
  <si>
    <t>Tam Coc NinhBinh - 105 Ton Duc Thang</t>
  </si>
  <si>
    <t>Tam Coc NinhBinh - 137 Tran Nhan Tong</t>
  </si>
  <si>
    <t>Tam Coc NinhBinh - 23 Nguyen Tat Thanh</t>
  </si>
  <si>
    <t>Tam Coc NinhBinh - Highlands Coffee</t>
  </si>
  <si>
    <t>Tam Coc NinhBinh - Hoi An An Bang Beach</t>
  </si>
  <si>
    <t>Tam Coc NinhBinh - Song Hoai Square</t>
  </si>
  <si>
    <t>Mikes Travel Agency - 2 Lam Hoang Vy Da</t>
  </si>
  <si>
    <t>Mikes Travel Agency - 38 Le Loi</t>
  </si>
  <si>
    <t>Mikes Travel Agency - 44 Chu van An Street</t>
  </si>
  <si>
    <t>Mikes Travel Agency - 7 Doi Cung Hue</t>
  </si>
  <si>
    <t>Mikes Travel Agency - 86 Nguyen Sinh Cung</t>
  </si>
  <si>
    <t>Mikes Travel Agency - Benly Coffee</t>
  </si>
  <si>
    <t>Mikes Travel Agency - Hue Northern Bus Station</t>
  </si>
  <si>
    <t>Mr Khanh Travel Agency Ninh Binh - 38 Le Loi</t>
  </si>
  <si>
    <t>Mr Khanh Travel Agency Ninh Binh - 44 Chu van An Street</t>
  </si>
  <si>
    <t>Mr Khanh Travel Agency Ninh Binh - 7 Doi Cung Hue</t>
  </si>
  <si>
    <t>Mr Khanh Travel Agency Ninh Binh - Benly Coffee</t>
  </si>
  <si>
    <t>Mr Khanh Travel Agency Ninh Binh - Hue Northern Bus Station</t>
  </si>
  <si>
    <t>Ninh Binh Central Hotel - 86 Nguyen Sinh Cung</t>
  </si>
  <si>
    <t>SDT Ninh Binh Office - Gas Station 24</t>
  </si>
  <si>
    <t>Tam Coc NinhBinh - 174 Ba Trieu</t>
  </si>
  <si>
    <t>Tam Coc NinhBinh - 2 Lam Hoang Vy Da</t>
  </si>
  <si>
    <t>Tam Coc NinhBinh - 7 Doi Cung Hue</t>
  </si>
  <si>
    <t>Tam Coc NinhBinh - 86 Nguyen Sinh Cung</t>
  </si>
  <si>
    <t>Tam Coc NinhBinh - Hue Northern Bus Station</t>
  </si>
  <si>
    <t>Tam Coc NinhBinh - Hue Railway Station</t>
  </si>
  <si>
    <t>Tam Coc NinhBinh - Nguyen Hoang Bus Station</t>
  </si>
  <si>
    <t>Tam Coc NinhBinh - Toa Kham Marina</t>
  </si>
  <si>
    <t>Mikes Travel Agency - Central Backpackers Hostel Phong Nha</t>
  </si>
  <si>
    <t>Mikes Travel Agency - Nam Anh Hotel</t>
  </si>
  <si>
    <t>Mikes Travel Agency - Thien Phu Hostel</t>
  </si>
  <si>
    <t>Mr Khanh Travel Agency Ninh Binh - Central Backpackers Hostel Phong Nha</t>
  </si>
  <si>
    <t>Mr Khanh Travel Agency Ninh Binh - Nam Anh Hotel</t>
  </si>
  <si>
    <t>Mr Khanh Travel Agency Ninh Binh - Thien Phu Hostel</t>
  </si>
  <si>
    <t>Ninh Binh Central Hotel - Thien Phu Hostel</t>
  </si>
  <si>
    <t>Ninh Binh Luxury SSB - Thien Phu Hostel</t>
  </si>
  <si>
    <t>Ninh Binh SSB - Thien Phu Hostel</t>
  </si>
  <si>
    <t>Tam Coc NinhBinh - Central Backpackers Hostel Phong Nha</t>
  </si>
  <si>
    <t>Tam Coc NinhBinh - Nam Anh Hotel</t>
  </si>
  <si>
    <t>Tam Coc NinhBinh - Thien Phu Hostel</t>
  </si>
  <si>
    <t>Break Time Coffee - 18A Anh Dao</t>
  </si>
  <si>
    <t>Nha Hang 0km Tam Coc - Halong SB1</t>
  </si>
  <si>
    <t>Ninh Binh Viet Nam - Halong SB1</t>
  </si>
  <si>
    <t>Trang An Boat Station - Halong SB1</t>
  </si>
  <si>
    <t>02 Dao Duy Tu - Sapa SSB</t>
  </si>
  <si>
    <t>Ninh Binh limousine - Sapa SSB</t>
  </si>
  <si>
    <t>Ninh Binh Viet Nam - Sapa SSB</t>
  </si>
  <si>
    <t>SDT Ninh Binh Office - 697 Duong Dien Bien Phu</t>
  </si>
  <si>
    <t>bus | VIP 20 + VIP 11</t>
  </si>
  <si>
    <t>SDT Ninh Binh Office - Sapa Garden Bungalow</t>
  </si>
  <si>
    <t>Noi Bai Airport - Ha Giang Hostel</t>
  </si>
  <si>
    <t>Noibai Airport - Hagiang Hostel AK Group Tour</t>
  </si>
  <si>
    <t>Noi bai airport Terminal 2 - Truly Hagiang Bus stop 44 Hang giay</t>
  </si>
  <si>
    <t>charter | VIP Van 7pax</t>
  </si>
  <si>
    <t>Noi Bai Airport - 23 Le Thanh Street</t>
  </si>
  <si>
    <t>Noi Bai Airport - 582 Duong Dien Bien Phu</t>
  </si>
  <si>
    <t>Nam Anh Hotel - 41 February 3rd Street</t>
  </si>
  <si>
    <t>SDT Phong Nha Office - SDT Da Nang Office</t>
  </si>
  <si>
    <t>Central Backpackers Hostel Phong Nha - 217 Mot Thang Tu</t>
  </si>
  <si>
    <t>Central Backpackers Hostel Phong Nha - 12 Pham Van Dong</t>
  </si>
  <si>
    <t>Central Backpackers Hostel Phong Nha - My Dinh Bus Station</t>
  </si>
  <si>
    <t>Nam Anh Hotel - 1 Nguyen Hoang My Dinh</t>
  </si>
  <si>
    <t>Nam Anh Hotel - 114 Tran Nhat Duat Street</t>
  </si>
  <si>
    <t>Nam Anh Hotel - 9B Cho Gao</t>
  </si>
  <si>
    <t>Nam Anh Hotel - My Dinh Bus Station</t>
  </si>
  <si>
    <t>Tbus Phongnha - 459 Tran Khat Chan</t>
  </si>
  <si>
    <t>Thien Phu Hostel - 12 Pham Van Dong</t>
  </si>
  <si>
    <t>Thien Phu Hostel - 160 Tran Vy</t>
  </si>
  <si>
    <t>Thien Phu Hostel - 459 Tran Khat Chan</t>
  </si>
  <si>
    <t>Thien Phu Hostel - Tbus Hanoi Office</t>
  </si>
  <si>
    <t>Thien Phu Hostel - Tbus Office Cho Gao</t>
  </si>
  <si>
    <t>Nam Anh Hotel - 105 Ton Duc Thang</t>
  </si>
  <si>
    <t>Nam Anh Hotel - 23 Nguyen Tat Thanh</t>
  </si>
  <si>
    <t>SDT Phong Nha Office - Pool Side Villa</t>
  </si>
  <si>
    <t>Nam Anh Hotel - 38 Le Loi</t>
  </si>
  <si>
    <t>Nam Anh Hotel - 7 Doi Cung Hue</t>
  </si>
  <si>
    <t>Nam Anh Hotel - Benly Coffee</t>
  </si>
  <si>
    <t>Nam Anh Hotel - Hue Northern Bus Station</t>
  </si>
  <si>
    <t>SDT Phong Nha Office - Gas Station 24</t>
  </si>
  <si>
    <t>Central Backpackers Hostel Phong Nha - Mikes Travel Agency</t>
  </si>
  <si>
    <t>Central Backpackers Hostel Phong Nha - Ninh Phong Ninh Binh</t>
  </si>
  <si>
    <t>Central Backpackers Hostel Phong Nha - Tam Coc NinhBinh</t>
  </si>
  <si>
    <t>Nam Anh Hotel - Ben Do Tam Coc</t>
  </si>
  <si>
    <t>Nam Anh Hotel - Mikes Travel Agency</t>
  </si>
  <si>
    <t>Nam Anh Hotel - Mr Khanh Travel Agency Ninh Binh</t>
  </si>
  <si>
    <t>Nam Anh Hotel - Ninh Binh Central Hotel</t>
  </si>
  <si>
    <t>Nam Anh Hotel - Ninh Phong Ninh Binh</t>
  </si>
  <si>
    <t>Nam Anh Hotel - Tam Coc</t>
  </si>
  <si>
    <t>Tbus Phongnha - Mr Khanh Travel Agency Ninh Binh</t>
  </si>
  <si>
    <t>Tbus Phongnha - Ninh Binh Central Hotel</t>
  </si>
  <si>
    <t>Tbus Phongnha - Tam Coc NinhBinh</t>
  </si>
  <si>
    <t>Tbus Phongnha - The Long Hotel Tam Coc</t>
  </si>
  <si>
    <t>Thien Phu Hostel - Mikes Travel Agency</t>
  </si>
  <si>
    <t>Thien Phu Hostel - Mr Khanh Travel Agency Ninh Binh</t>
  </si>
  <si>
    <t>Thien Phu Hostel - Ninh Binh Central Hotel</t>
  </si>
  <si>
    <t>Thien Phu Hostel - Ninh Phong Ninh Binh</t>
  </si>
  <si>
    <t>Thien Phu Hostel - Tam Coc NinhBinh</t>
  </si>
  <si>
    <t>Thien Phu Hostel - The Long Hotel Tam Coc</t>
  </si>
  <si>
    <t>Nam Anh Hotel - Tbus Halong</t>
  </si>
  <si>
    <t>Nam Anh Hotel - Tuan Chau</t>
  </si>
  <si>
    <t>Vietnam, Phu Quoc</t>
  </si>
  <si>
    <t>Vietnam, Kien Giang</t>
  </si>
  <si>
    <t>Phu Quoc Airport - An Thoi</t>
  </si>
  <si>
    <t>Phu Quoc Airport - Ganh Dau Beach</t>
  </si>
  <si>
    <t>Phu Quoc Airport - Ong Lang Beach</t>
  </si>
  <si>
    <t>Phu Quoc Airport - Cua Can Beach</t>
  </si>
  <si>
    <t>Phu Quoc Airport - Long Beach Resort</t>
  </si>
  <si>
    <t>Phu Quoc Airport - Town Center</t>
  </si>
  <si>
    <t>Phu Quoc Airport - Vinpearl Grand World</t>
  </si>
  <si>
    <t>Phu Quoc Airport - Vinpearl Resort</t>
  </si>
  <si>
    <t>Phu Yen - Ha Nam</t>
  </si>
  <si>
    <t>Tuy Hoa - Phu Ly</t>
  </si>
  <si>
    <t>Vietnam, Quang Binh</t>
  </si>
  <si>
    <t>Dong Le - Ho Chi Minh City</t>
  </si>
  <si>
    <t>Toyota Ha Long - Da Nang An Phu</t>
  </si>
  <si>
    <t>bus | Budget Sleeper</t>
  </si>
  <si>
    <t>Toyota Ha Long - Thang Long Hotel</t>
  </si>
  <si>
    <t>Halong SB1 - Ha Giang Hostel</t>
  </si>
  <si>
    <t>Tung Luxury Hotel Ha Long - Ha Giang Hostel</t>
  </si>
  <si>
    <t>Halong International Cruise Port - 162 Tran Quang Khai</t>
  </si>
  <si>
    <t>Halong International Cruise Port - AEON Long Bien</t>
  </si>
  <si>
    <t>Halong International Cruise Port - Hanoi Opera House</t>
  </si>
  <si>
    <t>Halong International Cruise Port - Vietnam National Museum of History</t>
  </si>
  <si>
    <t>Halong SB1 - Hanoi Noi Bai Airport</t>
  </si>
  <si>
    <t>Halong SB1 - Hanoi Opera House</t>
  </si>
  <si>
    <t>Halong SB1 - Hanoi SSB</t>
  </si>
  <si>
    <t>Tuan Chau Harbour - 162 Tran Quang Khai</t>
  </si>
  <si>
    <t>Tuan Chau Harbour - AEON Long Bien</t>
  </si>
  <si>
    <t>Tuan Chau Harbour - Hanoi Opera House</t>
  </si>
  <si>
    <t>Tuan Chau Harbour - Vietnam National Museum of History</t>
  </si>
  <si>
    <t>Tung Luxury Hotel Ha Long - 04 Hang Chinh Maison Mackeno</t>
  </si>
  <si>
    <t>Tung Luxury Hotel Ha Long - 16 Hang Chinh Hanoi</t>
  </si>
  <si>
    <t>Ha Long Bay Travel - 103 Ton Duc Thang</t>
  </si>
  <si>
    <t>bus | Cabin 22</t>
  </si>
  <si>
    <t>Toyota Ha Long - Vinh Duc Hospital</t>
  </si>
  <si>
    <t>Ha Long Bay Travel - 78 Tran Quang Khai</t>
  </si>
  <si>
    <t>Toyota Ha Long - Gas Station 24</t>
  </si>
  <si>
    <t>18A Anh Dao - Break Time Coffee</t>
  </si>
  <si>
    <t>Ha Long Bay Travel - Break Time Coffee</t>
  </si>
  <si>
    <t>Ha Long Bay Travel - Pho Co Hoa Lu</t>
  </si>
  <si>
    <t>Ha Long Bay Travel - Trang An Boat Station</t>
  </si>
  <si>
    <t>Ha Long Happy Travel Tuan Chau - Break Time Coffee</t>
  </si>
  <si>
    <t>Ha Long Happy Travel Tuan Chau - Pho Co Hoa Lu</t>
  </si>
  <si>
    <t>Ha Long Happy Travel Tuan Chau - Trang An Boat Station</t>
  </si>
  <si>
    <t>Tung Luxury Hotel Ha Long - Noi Bai Airport</t>
  </si>
  <si>
    <t>Ha Long Happy Travel Tuan Chau - 411 Dien Bien Phu</t>
  </si>
  <si>
    <t>Toyota Ha Long - 697 Duong Dien Bien Phu</t>
  </si>
  <si>
    <t>Toyota Quang Ninh - Sapa SSB</t>
  </si>
  <si>
    <t>bus | VIP24 + Express Bus</t>
  </si>
  <si>
    <t>Tung Luxury Hotel Ha Long - 23 Le Thanh Street</t>
  </si>
  <si>
    <t>Tung Luxury Hotel Ha Long - 582 Duong Dien Bien Phu</t>
  </si>
  <si>
    <t>234 Tay Son - 90 Hoang Thi Loan</t>
  </si>
  <si>
    <t>234 Tay Son - Ben xe Mien Tay</t>
  </si>
  <si>
    <t>234 Tay Son - Hoi An Hanh Cafe</t>
  </si>
  <si>
    <t>234 Tay Son - 32 Hung Vuong</t>
  </si>
  <si>
    <t>Quy Nhon - Gia</t>
  </si>
  <si>
    <t>Saigon - Kien Svay</t>
  </si>
  <si>
    <t>413 Dien Bien Phu - Ha Giang Hostel</t>
  </si>
  <si>
    <t>23 Le Thanh Street - 175a 1I4 Street</t>
  </si>
  <si>
    <t>582 Duong Dien Bien Phu - 175a 1I4 Street</t>
  </si>
  <si>
    <t>582 Duong Dien Bien Phu - 211 Nui Ngoc</t>
  </si>
  <si>
    <t>Sapa Bus Stop - 228 1I4 Street</t>
  </si>
  <si>
    <t>Sapa SSB - 211 Nui Ngoc</t>
  </si>
  <si>
    <t>Sapa SSB - 61 Hung Vuong Street</t>
  </si>
  <si>
    <t>Sapa SSB - Cat Ba SSB</t>
  </si>
  <si>
    <t>bus | VIP 34 Sleeper</t>
  </si>
  <si>
    <t>Sapa SSB - Catba Station SSB</t>
  </si>
  <si>
    <t>Sapa SSB - HAIPHONG LUXURY</t>
  </si>
  <si>
    <t>23 Le Thanh Street - Boarding point Ruby Cruise</t>
  </si>
  <si>
    <t>582 Duong Dien Bien Phu - Boarding point Ruby Cruise</t>
  </si>
  <si>
    <t>Sapa SSB - Boarding point Ruby Cruise</t>
  </si>
  <si>
    <t>Sapa SSB - Tuan Chau Luxxury SSB</t>
  </si>
  <si>
    <t>23 Le Thanh Street - 04 Hang Chinh Maison Mackeno</t>
  </si>
  <si>
    <t>23 Le Thanh Street - 16 Hang Chinh Hanoi</t>
  </si>
  <si>
    <t>411 Dien Bien Phu - 75 Vuon Dao</t>
  </si>
  <si>
    <t>582 Duong Dien Bien Phu - 04 Hang Chinh Maison Mackeno</t>
  </si>
  <si>
    <t>582 Duong Dien Bien Phu - 16 Hang Chinh Hanoi</t>
  </si>
  <si>
    <t>582 Duong Dien Bien Phu - Hanoi Noi Bai Airport</t>
  </si>
  <si>
    <t>Sapa Lao Cai - Hanoi</t>
  </si>
  <si>
    <t>Sapa SSB - 04 Hang Chinh Maison Mackeno</t>
  </si>
  <si>
    <t>Sapa SSB - 114 Tran Nhat Duat Street</t>
  </si>
  <si>
    <t>Sapa SSB - Hanoi Noi Bai Airport</t>
  </si>
  <si>
    <t>Sapa SSB - Hanoi SSB</t>
  </si>
  <si>
    <t>582 Duong Dien Bien Phu - Ninh Binh Luxury SSB</t>
  </si>
  <si>
    <t>697 Duong Dien Bien Phu - SDT Ninh Binh Office</t>
  </si>
  <si>
    <t>Sapa Garden Bungalow - SDT Ninh Binh Office</t>
  </si>
  <si>
    <t>Sapa SSB - Ninh Binh SSB</t>
  </si>
  <si>
    <t>23 Le Thanh Street - Noi Bai Airport</t>
  </si>
  <si>
    <t>582 Duong Dien Bien Phu - Noi Bai Airport</t>
  </si>
  <si>
    <t>Sapa SSB - Noibai Airport</t>
  </si>
  <si>
    <t>Sapa SSB - Phongnha Luxury SSB</t>
  </si>
  <si>
    <t>23 Le Thanh Street - Tuan Chau Welcome Gate</t>
  </si>
  <si>
    <t>582 Duong Dien Bien Phu - Tuan Chau Welcome Gate</t>
  </si>
  <si>
    <t>Sapa Garden Bungalow - Toyota Ha Long</t>
  </si>
  <si>
    <t>Sapa SSB - Toyota Quang Ninh</t>
  </si>
  <si>
    <t>Vietnam, Vinh Phuc</t>
  </si>
  <si>
    <t>Bao Ha - Phuc Yen</t>
  </si>
  <si>
    <t>Sapa Lao Cai - Phuc Yen</t>
  </si>
  <si>
    <t>Vietnam, Thanh Hoa</t>
  </si>
  <si>
    <t>Bim Son - Ho Chi Minh City</t>
  </si>
  <si>
    <t>Vietnam, Nam Dinh</t>
  </si>
  <si>
    <t>Thanh Hoa - Nam Dinh</t>
  </si>
  <si>
    <t>Bim Son - Minh Le</t>
  </si>
  <si>
    <t>Phuc Yen - Bao Ha</t>
  </si>
  <si>
    <t>Phuc Yen - Sapa Lao Cai</t>
  </si>
  <si>
    <t>Phuc Yen - Yen Bai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</si>
</sst>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yyyy&quot;-&quot;mm&quot;-&quot;dd"/>
    <numFmt numFmtId="165" formatCode="yyyy-mm-dd"/>
    <numFmt numFmtId="166" formatCode="yyyy mmm d"/>
    <numFmt numFmtId="167" formatCode="yyyy mmmm d"/>
    <numFmt numFmtId="168" formatCode="yyyy mmm dd"/>
    <numFmt numFmtId="169" formatCode="yyyy mmmm dd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  <scheme val="minor"/>
    </font>
    <font>
      <color theme="1"/>
      <name val="Arial"/>
    </font>
    <font>
      <u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76A5AF"/>
        <bgColor rgb="FF76A5AF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0" fontId="2" numFmtId="164" xfId="0" applyFont="1" applyNumberFormat="1"/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2" numFmtId="165" xfId="0" applyFont="1" applyNumberFormat="1"/>
    <xf borderId="0" fillId="0" fontId="2" numFmtId="166" xfId="0" applyFont="1" applyNumberFormat="1"/>
    <xf borderId="0" fillId="0" fontId="2" numFmtId="167" xfId="0" applyFont="1" applyNumberFormat="1"/>
    <xf borderId="0" fillId="0" fontId="2" numFmtId="168" xfId="0" applyFont="1" applyNumberFormat="1"/>
    <xf borderId="0" fillId="0" fontId="2" numFmtId="0" xfId="0" applyFont="1"/>
    <xf borderId="0" fillId="0" fontId="2" numFmtId="169" xfId="0" applyFont="1" applyNumberFormat="1"/>
  </cellXfs>
  <cellStyles count="1">
    <cellStyle xfId="0" name="Normal" builtinId="0"/>
  </cellStyles>
  <dxfs count="4"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9FC5E8"/>
          <bgColor rgb="FF9FC5E8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7.0"/>
    <col customWidth="1" min="3" max="3" width="41.25"/>
    <col customWidth="1" min="4" max="4" width="8.63"/>
    <col customWidth="1" min="5" max="5" width="2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K1" s="2"/>
      <c r="L1" s="2"/>
    </row>
    <row r="2">
      <c r="A2" s="3" t="s">
        <v>5</v>
      </c>
      <c r="B2" s="3" t="s">
        <v>6</v>
      </c>
      <c r="C2" s="3" t="s">
        <v>7</v>
      </c>
      <c r="D2" s="4" t="str">
        <f>HYPERLINK("https://12go.asia/en/travel/agnes-water/airlie-beach", "12Go Link")</f>
        <v>12Go Link</v>
      </c>
      <c r="E2" s="3" t="s">
        <v>8</v>
      </c>
      <c r="K2" s="5"/>
      <c r="V2" s="6"/>
    </row>
    <row r="3">
      <c r="A3" s="3" t="s">
        <v>5</v>
      </c>
      <c r="B3" s="3" t="s">
        <v>6</v>
      </c>
      <c r="C3" s="3" t="s">
        <v>9</v>
      </c>
      <c r="D3" s="4" t="str">
        <f>HYPERLINK("https://12go.asia/en/travel/agnes-water/port-of-airlie", "12Go Link")</f>
        <v>12Go Link</v>
      </c>
      <c r="E3" s="3" t="s">
        <v>8</v>
      </c>
      <c r="K3" s="5"/>
      <c r="V3" s="6"/>
    </row>
    <row r="4">
      <c r="A4" s="3" t="s">
        <v>10</v>
      </c>
      <c r="B4" s="3" t="s">
        <v>11</v>
      </c>
      <c r="C4" s="3" t="s">
        <v>12</v>
      </c>
      <c r="D4" s="4" t="str">
        <f>HYPERLINK("https://12go.asia/en/travel/albury/sydney-international-airport", "12Go Link")</f>
        <v>12Go Link</v>
      </c>
      <c r="E4" s="3" t="s">
        <v>8</v>
      </c>
      <c r="K4" s="5"/>
      <c r="V4" s="7"/>
    </row>
    <row r="5">
      <c r="A5" s="3" t="s">
        <v>13</v>
      </c>
      <c r="B5" s="3" t="s">
        <v>14</v>
      </c>
      <c r="C5" s="3" t="s">
        <v>15</v>
      </c>
      <c r="D5" s="4" t="str">
        <f>HYPERLINK("https://12go.asia/en/travel/bilinga/brisbane", "12Go Link")</f>
        <v>12Go Link</v>
      </c>
      <c r="E5" s="3" t="s">
        <v>8</v>
      </c>
      <c r="K5" s="5"/>
      <c r="V5" s="6"/>
    </row>
    <row r="6">
      <c r="A6" s="3" t="s">
        <v>13</v>
      </c>
      <c r="B6" s="3" t="s">
        <v>14</v>
      </c>
      <c r="C6" s="3" t="s">
        <v>16</v>
      </c>
      <c r="D6" s="4" t="str">
        <f>HYPERLINK("https://12go.asia/en/travel/bilinga/brisbane-coach-terminal", "12Go Link")</f>
        <v>12Go Link</v>
      </c>
      <c r="E6" s="3" t="s">
        <v>8</v>
      </c>
      <c r="K6" s="5"/>
      <c r="V6" s="6"/>
    </row>
    <row r="7">
      <c r="A7" s="3" t="s">
        <v>13</v>
      </c>
      <c r="B7" s="3" t="s">
        <v>17</v>
      </c>
      <c r="C7" s="3" t="s">
        <v>18</v>
      </c>
      <c r="D7" s="4" t="str">
        <f>HYPERLINK("https://12go.asia/en/travel/bilinga/brisbane-airport", "12Go Link")</f>
        <v>12Go Link</v>
      </c>
      <c r="E7" s="3" t="s">
        <v>8</v>
      </c>
      <c r="K7" s="5"/>
      <c r="V7" s="6"/>
    </row>
    <row r="8">
      <c r="A8" s="3" t="s">
        <v>13</v>
      </c>
      <c r="B8" s="3" t="s">
        <v>17</v>
      </c>
      <c r="C8" s="3" t="s">
        <v>19</v>
      </c>
      <c r="D8" s="4" t="str">
        <f>HYPERLINK("https://12go.asia/en/travel/bilinga/brisbane-domestic-airport", "12Go Link")</f>
        <v>12Go Link</v>
      </c>
      <c r="E8" s="3" t="s">
        <v>8</v>
      </c>
      <c r="K8" s="5"/>
      <c r="V8" s="8"/>
    </row>
    <row r="9">
      <c r="A9" s="3" t="s">
        <v>13</v>
      </c>
      <c r="B9" s="3" t="s">
        <v>17</v>
      </c>
      <c r="C9" s="3" t="s">
        <v>20</v>
      </c>
      <c r="D9" s="4" t="str">
        <f>HYPERLINK("https://12go.asia/en/travel/bilinga/brisbane-international-airport", "12Go Link")</f>
        <v>12Go Link</v>
      </c>
      <c r="E9" s="3" t="s">
        <v>8</v>
      </c>
      <c r="K9" s="5"/>
      <c r="V9" s="6"/>
    </row>
    <row r="10">
      <c r="A10" s="3" t="s">
        <v>13</v>
      </c>
      <c r="B10" s="3" t="s">
        <v>21</v>
      </c>
      <c r="C10" s="3" t="s">
        <v>22</v>
      </c>
      <c r="D10" s="4" t="str">
        <f>HYPERLINK("https://12go.asia/en/travel/bilinga/byron-bay", "12Go Link")</f>
        <v>12Go Link</v>
      </c>
      <c r="E10" s="3" t="s">
        <v>8</v>
      </c>
      <c r="K10" s="5"/>
      <c r="V10" s="6"/>
    </row>
    <row r="11">
      <c r="A11" s="3" t="s">
        <v>13</v>
      </c>
      <c r="B11" s="3" t="s">
        <v>21</v>
      </c>
      <c r="C11" s="3" t="s">
        <v>23</v>
      </c>
      <c r="D11" s="4" t="str">
        <f>HYPERLINK("https://12go.asia/en/travel/bilinga/byron-bay-nsw", "12Go Link")</f>
        <v>12Go Link</v>
      </c>
      <c r="E11" s="3" t="s">
        <v>8</v>
      </c>
      <c r="K11" s="5"/>
      <c r="V11" s="8"/>
    </row>
    <row r="12">
      <c r="A12" s="3" t="s">
        <v>13</v>
      </c>
      <c r="B12" s="3" t="s">
        <v>24</v>
      </c>
      <c r="C12" s="3" t="s">
        <v>25</v>
      </c>
      <c r="D12" s="4" t="str">
        <f>HYPERLINK("https://12go.asia/en/travel/bilinga/surfers-paradise-gold-coast", "12Go Link")</f>
        <v>12Go Link</v>
      </c>
      <c r="E12" s="3" t="s">
        <v>8</v>
      </c>
      <c r="K12" s="5"/>
      <c r="V12" s="6"/>
    </row>
    <row r="13">
      <c r="A13" s="3" t="s">
        <v>13</v>
      </c>
      <c r="B13" s="3" t="s">
        <v>24</v>
      </c>
      <c r="C13" s="3" t="s">
        <v>26</v>
      </c>
      <c r="D13" s="4" t="str">
        <f>HYPERLINK("https://12go.asia/en/travel/bilinga/gold-coast-city", "12Go Link")</f>
        <v>12Go Link</v>
      </c>
      <c r="E13" s="3" t="s">
        <v>8</v>
      </c>
      <c r="K13" s="5"/>
      <c r="V13" s="8"/>
    </row>
    <row r="14">
      <c r="A14" s="3" t="s">
        <v>13</v>
      </c>
      <c r="B14" s="3" t="s">
        <v>27</v>
      </c>
      <c r="C14" s="3" t="s">
        <v>28</v>
      </c>
      <c r="D14" s="4" t="str">
        <f>HYPERLINK("https://12go.asia/en/travel/bilinga/southport-gold-coast", "12Go Link")</f>
        <v>12Go Link</v>
      </c>
      <c r="E14" s="3" t="s">
        <v>8</v>
      </c>
      <c r="K14" s="5"/>
      <c r="V14" s="6"/>
    </row>
    <row r="15">
      <c r="A15" s="3" t="s">
        <v>13</v>
      </c>
      <c r="B15" s="3" t="s">
        <v>29</v>
      </c>
      <c r="C15" s="3" t="s">
        <v>30</v>
      </c>
      <c r="D15" s="4" t="str">
        <f>HYPERLINK("https://12go.asia/en/travel/bilinga/surfers-paradise", "12Go Link")</f>
        <v>12Go Link</v>
      </c>
      <c r="E15" s="3" t="s">
        <v>8</v>
      </c>
      <c r="K15" s="5"/>
      <c r="V15" s="6"/>
    </row>
    <row r="16">
      <c r="A16" s="3" t="s">
        <v>31</v>
      </c>
      <c r="B16" s="3" t="s">
        <v>32</v>
      </c>
      <c r="C16" s="3" t="s">
        <v>33</v>
      </c>
      <c r="D16" s="4" t="str">
        <f>HYPERLINK("https://12go.asia/en/travel/blackwater/rockhampton-railway", "12Go Link")</f>
        <v>12Go Link</v>
      </c>
      <c r="E16" s="3" t="s">
        <v>8</v>
      </c>
      <c r="K16" s="5"/>
      <c r="V16" s="6"/>
    </row>
    <row r="17">
      <c r="A17" s="3" t="s">
        <v>14</v>
      </c>
      <c r="B17" s="3" t="s">
        <v>5</v>
      </c>
      <c r="C17" s="3" t="s">
        <v>34</v>
      </c>
      <c r="D17" s="4" t="str">
        <f>HYPERLINK("https://12go.asia/en/travel/brisbane-coach-terminal/agnes-water", "12Go Link")</f>
        <v>12Go Link</v>
      </c>
      <c r="E17" s="3" t="s">
        <v>8</v>
      </c>
      <c r="K17" s="5"/>
      <c r="V17" s="6"/>
    </row>
    <row r="18">
      <c r="A18" s="3" t="s">
        <v>14</v>
      </c>
      <c r="B18" s="3" t="s">
        <v>5</v>
      </c>
      <c r="C18" s="3" t="s">
        <v>35</v>
      </c>
      <c r="D18" s="4" t="str">
        <f>HYPERLINK("https://12go.asia/en/travel/brisbane/agnes-water", "12Go Link")</f>
        <v>12Go Link</v>
      </c>
      <c r="E18" s="3" t="s">
        <v>8</v>
      </c>
      <c r="K18" s="5"/>
      <c r="V18" s="8"/>
    </row>
    <row r="19">
      <c r="A19" s="3" t="s">
        <v>14</v>
      </c>
      <c r="B19" s="3" t="s">
        <v>36</v>
      </c>
      <c r="C19" s="3" t="s">
        <v>37</v>
      </c>
      <c r="D19" s="4" t="str">
        <f>HYPERLINK("https://12go.asia/en/travel/brisbane-coach-terminal/arrawarra", "12Go Link")</f>
        <v>12Go Link</v>
      </c>
      <c r="E19" s="3" t="s">
        <v>8</v>
      </c>
      <c r="K19" s="5"/>
      <c r="V19" s="6"/>
    </row>
    <row r="20">
      <c r="A20" s="3" t="s">
        <v>14</v>
      </c>
      <c r="B20" s="3" t="s">
        <v>38</v>
      </c>
      <c r="C20" s="3" t="s">
        <v>39</v>
      </c>
      <c r="D20" s="4" t="str">
        <f>HYPERLINK("https://12go.asia/en/travel/brisbane-coach-terminal/yamba", "12Go Link")</f>
        <v>12Go Link</v>
      </c>
      <c r="E20" s="3" t="s">
        <v>8</v>
      </c>
      <c r="K20" s="5"/>
      <c r="V20" s="8"/>
    </row>
    <row r="21">
      <c r="A21" s="3" t="s">
        <v>40</v>
      </c>
      <c r="B21" s="3" t="s">
        <v>41</v>
      </c>
      <c r="C21" s="3" t="s">
        <v>42</v>
      </c>
      <c r="D21" s="4" t="str">
        <f>HYPERLINK("https://12go.asia/en/travel/broome/willare", "12Go Link")</f>
        <v>12Go Link</v>
      </c>
      <c r="E21" s="3" t="s">
        <v>8</v>
      </c>
      <c r="K21" s="5"/>
      <c r="V21" s="6"/>
    </row>
    <row r="22">
      <c r="A22" s="3" t="s">
        <v>43</v>
      </c>
      <c r="B22" s="3" t="s">
        <v>44</v>
      </c>
      <c r="C22" s="3" t="s">
        <v>45</v>
      </c>
      <c r="D22" s="4" t="str">
        <f>HYPERLINK("https://12go.asia/en/travel/bundaberg/cooroy-sunshine-coast", "12Go Link")</f>
        <v>12Go Link</v>
      </c>
      <c r="E22" s="3" t="s">
        <v>8</v>
      </c>
      <c r="K22" s="5"/>
      <c r="V22" s="6"/>
    </row>
    <row r="23">
      <c r="A23" s="3" t="s">
        <v>46</v>
      </c>
      <c r="B23" s="3" t="s">
        <v>47</v>
      </c>
      <c r="C23" s="3" t="s">
        <v>48</v>
      </c>
      <c r="D23" s="4" t="str">
        <f>HYPERLINK("https://12go.asia/en/travel/canberra/snowy-monaro", "12Go Link")</f>
        <v>12Go Link</v>
      </c>
      <c r="E23" s="3" t="s">
        <v>8</v>
      </c>
      <c r="K23" s="5"/>
      <c r="V23" s="8"/>
    </row>
    <row r="24">
      <c r="A24" s="3" t="s">
        <v>49</v>
      </c>
      <c r="B24" s="3" t="s">
        <v>50</v>
      </c>
      <c r="C24" s="3" t="s">
        <v>51</v>
      </c>
      <c r="D24" s="4" t="str">
        <f>HYPERLINK("https://12go.asia/en/travel/cassowary-coast/ayr", "12Go Link")</f>
        <v>12Go Link</v>
      </c>
      <c r="E24" s="3" t="s">
        <v>8</v>
      </c>
      <c r="K24" s="5"/>
      <c r="V24" s="6"/>
    </row>
    <row r="25">
      <c r="A25" s="3" t="s">
        <v>49</v>
      </c>
      <c r="B25" s="3" t="s">
        <v>52</v>
      </c>
      <c r="C25" s="3" t="s">
        <v>53</v>
      </c>
      <c r="D25" s="4" t="str">
        <f>HYPERLINK("https://12go.asia/en/travel/cassowary-coast/burdekin-shire", "12Go Link")</f>
        <v>12Go Link</v>
      </c>
      <c r="E25" s="3" t="s">
        <v>8</v>
      </c>
      <c r="K25" s="5"/>
      <c r="V25" s="8"/>
    </row>
    <row r="26">
      <c r="A26" s="3" t="s">
        <v>49</v>
      </c>
      <c r="B26" s="3" t="s">
        <v>54</v>
      </c>
      <c r="C26" s="3" t="s">
        <v>55</v>
      </c>
      <c r="D26" s="4" t="str">
        <f>HYPERLINK("https://12go.asia/en/travel/cassowary-coast/gympie", "12Go Link")</f>
        <v>12Go Link</v>
      </c>
      <c r="E26" s="3" t="s">
        <v>8</v>
      </c>
      <c r="K26" s="5"/>
      <c r="V26" s="6"/>
    </row>
    <row r="27">
      <c r="A27" s="3" t="s">
        <v>49</v>
      </c>
      <c r="B27" s="3" t="s">
        <v>56</v>
      </c>
      <c r="C27" s="3" t="s">
        <v>57</v>
      </c>
      <c r="D27" s="4" t="str">
        <f>HYPERLINK("https://12go.asia/en/travel/cassowary-coast/hinchinbrook", "12Go Link")</f>
        <v>12Go Link</v>
      </c>
      <c r="E27" s="3" t="s">
        <v>8</v>
      </c>
      <c r="K27" s="5"/>
      <c r="V27" s="6"/>
    </row>
    <row r="28">
      <c r="A28" s="3" t="s">
        <v>49</v>
      </c>
      <c r="B28" s="3" t="s">
        <v>58</v>
      </c>
      <c r="C28" s="3" t="s">
        <v>59</v>
      </c>
      <c r="D28" s="4" t="str">
        <f>HYPERLINK("https://12go.asia/en/travel/cassowary-coast/ingham", "12Go Link")</f>
        <v>12Go Link</v>
      </c>
      <c r="E28" s="3" t="s">
        <v>8</v>
      </c>
      <c r="K28" s="5"/>
      <c r="V28" s="6"/>
    </row>
    <row r="29">
      <c r="A29" s="3" t="s">
        <v>60</v>
      </c>
      <c r="B29" s="3" t="s">
        <v>61</v>
      </c>
      <c r="C29" s="3" t="s">
        <v>62</v>
      </c>
      <c r="D29" s="4" t="str">
        <f>HYPERLINK("https://12go.asia/en/travel/charleville-queensland/toowoomba", "12Go Link")</f>
        <v>12Go Link</v>
      </c>
      <c r="E29" s="3" t="s">
        <v>8</v>
      </c>
      <c r="K29" s="5"/>
      <c r="V29" s="6"/>
    </row>
    <row r="30">
      <c r="A30" s="3" t="s">
        <v>60</v>
      </c>
      <c r="B30" s="3" t="s">
        <v>63</v>
      </c>
      <c r="C30" s="3" t="s">
        <v>64</v>
      </c>
      <c r="D30" s="4" t="str">
        <f>HYPERLINK("https://12go.asia/en/travel/charleville-queensland/winton", "12Go Link")</f>
        <v>12Go Link</v>
      </c>
      <c r="E30" s="3" t="s">
        <v>8</v>
      </c>
      <c r="K30" s="5"/>
      <c r="V30" s="6"/>
    </row>
    <row r="31">
      <c r="A31" s="3" t="s">
        <v>65</v>
      </c>
      <c r="B31" s="3" t="s">
        <v>13</v>
      </c>
      <c r="C31" s="3" t="s">
        <v>66</v>
      </c>
      <c r="D31" s="4" t="str">
        <f>HYPERLINK("https://12go.asia/en/travel/clarence-valley/bilinga", "12Go Link")</f>
        <v>12Go Link</v>
      </c>
      <c r="E31" s="3" t="s">
        <v>8</v>
      </c>
      <c r="K31" s="5"/>
      <c r="V31" s="6"/>
    </row>
    <row r="32">
      <c r="A32" s="3" t="s">
        <v>65</v>
      </c>
      <c r="B32" s="3" t="s">
        <v>67</v>
      </c>
      <c r="C32" s="3" t="s">
        <v>68</v>
      </c>
      <c r="D32" s="4" t="str">
        <f>HYPERLINK("https://12go.asia/en/travel/clarence-valley/coolangatta", "12Go Link")</f>
        <v>12Go Link</v>
      </c>
      <c r="E32" s="3" t="s">
        <v>8</v>
      </c>
      <c r="K32" s="5"/>
      <c r="V32" s="8"/>
    </row>
    <row r="33">
      <c r="A33" s="3" t="s">
        <v>65</v>
      </c>
      <c r="B33" s="3" t="s">
        <v>69</v>
      </c>
      <c r="C33" s="3" t="s">
        <v>70</v>
      </c>
      <c r="D33" s="4" t="str">
        <f>HYPERLINK("https://12go.asia/en/travel/clarence-valley/iluka", "12Go Link")</f>
        <v>12Go Link</v>
      </c>
      <c r="E33" s="3" t="s">
        <v>8</v>
      </c>
      <c r="K33" s="5"/>
      <c r="V33" s="6"/>
    </row>
    <row r="34">
      <c r="A34" s="3" t="s">
        <v>65</v>
      </c>
      <c r="B34" s="3" t="s">
        <v>71</v>
      </c>
      <c r="C34" s="3" t="s">
        <v>72</v>
      </c>
      <c r="D34" s="4" t="str">
        <f>HYPERLINK("https://12go.asia/en/travel/clarence-valley/tweed-heads", "12Go Link")</f>
        <v>12Go Link</v>
      </c>
      <c r="E34" s="3" t="s">
        <v>8</v>
      </c>
      <c r="K34" s="5"/>
      <c r="V34" s="6"/>
    </row>
    <row r="35">
      <c r="A35" s="3" t="s">
        <v>73</v>
      </c>
      <c r="B35" s="3" t="s">
        <v>74</v>
      </c>
      <c r="C35" s="3" t="s">
        <v>75</v>
      </c>
      <c r="D35" s="4" t="str">
        <f>HYPERLINK("https://12go.asia/en/travel/cooma/jindabyne", "12Go Link")</f>
        <v>12Go Link</v>
      </c>
      <c r="E35" s="3" t="s">
        <v>8</v>
      </c>
      <c r="K35" s="5"/>
      <c r="V35" s="8"/>
    </row>
    <row r="36">
      <c r="A36" s="3" t="s">
        <v>44</v>
      </c>
      <c r="B36" s="3" t="s">
        <v>76</v>
      </c>
      <c r="C36" s="3" t="s">
        <v>77</v>
      </c>
      <c r="D36" s="4" t="str">
        <f>HYPERLINK("https://12go.asia/en/travel/cooroy-sunshine-coast/noosa-sunshine-cost", "12Go Link")</f>
        <v>12Go Link</v>
      </c>
      <c r="E36" s="3" t="s">
        <v>8</v>
      </c>
      <c r="K36" s="5"/>
      <c r="V36" s="6"/>
    </row>
    <row r="37">
      <c r="A37" s="3" t="s">
        <v>44</v>
      </c>
      <c r="B37" s="3" t="s">
        <v>78</v>
      </c>
      <c r="C37" s="3" t="s">
        <v>79</v>
      </c>
      <c r="D37" s="4" t="str">
        <f>HYPERLINK("https://12go.asia/en/travel/cooroy-sunshine-coast/proserpine", "12Go Link")</f>
        <v>12Go Link</v>
      </c>
      <c r="E37" s="3" t="s">
        <v>8</v>
      </c>
      <c r="K37" s="5"/>
      <c r="V37" s="6"/>
    </row>
    <row r="38">
      <c r="A38" s="3" t="s">
        <v>80</v>
      </c>
      <c r="B38" s="3" t="s">
        <v>13</v>
      </c>
      <c r="C38" s="3" t="s">
        <v>81</v>
      </c>
      <c r="D38" s="4" t="str">
        <f>HYPERLINK("https://12go.asia/en/travel/erskineville/bilinga", "12Go Link")</f>
        <v>12Go Link</v>
      </c>
      <c r="E38" s="3" t="s">
        <v>8</v>
      </c>
      <c r="K38" s="5"/>
      <c r="V38" s="8"/>
    </row>
    <row r="39">
      <c r="A39" s="3" t="s">
        <v>80</v>
      </c>
      <c r="B39" s="3" t="s">
        <v>82</v>
      </c>
      <c r="C39" s="3" t="s">
        <v>83</v>
      </c>
      <c r="D39" s="4" t="str">
        <f>HYPERLINK("https://12go.asia/en/travel/erskineville/canberra-airport", "12Go Link")</f>
        <v>12Go Link</v>
      </c>
      <c r="E39" s="3" t="s">
        <v>8</v>
      </c>
      <c r="K39" s="5"/>
      <c r="V39" s="8"/>
    </row>
    <row r="40">
      <c r="A40" s="3" t="s">
        <v>80</v>
      </c>
      <c r="B40" s="3" t="s">
        <v>67</v>
      </c>
      <c r="C40" s="3" t="s">
        <v>84</v>
      </c>
      <c r="D40" s="4" t="str">
        <f>HYPERLINK("https://12go.asia/en/travel/erskineville/coolangatta", "12Go Link")</f>
        <v>12Go Link</v>
      </c>
      <c r="E40" s="3" t="s">
        <v>8</v>
      </c>
      <c r="K40" s="5"/>
      <c r="V40" s="6"/>
    </row>
    <row r="41">
      <c r="A41" s="3" t="s">
        <v>80</v>
      </c>
      <c r="B41" s="3" t="s">
        <v>85</v>
      </c>
      <c r="C41" s="3" t="s">
        <v>86</v>
      </c>
      <c r="D41" s="4" t="str">
        <f>HYPERLINK("https://12go.asia/en/travel/erskineville/maclean", "12Go Link")</f>
        <v>12Go Link</v>
      </c>
      <c r="E41" s="3" t="s">
        <v>8</v>
      </c>
      <c r="K41" s="5"/>
      <c r="V41" s="8"/>
    </row>
    <row r="42">
      <c r="A42" s="3" t="s">
        <v>80</v>
      </c>
      <c r="B42" s="3" t="s">
        <v>71</v>
      </c>
      <c r="C42" s="3" t="s">
        <v>87</v>
      </c>
      <c r="D42" s="4" t="str">
        <f>HYPERLINK("https://12go.asia/en/travel/erskineville/tweed-heads", "12Go Link")</f>
        <v>12Go Link</v>
      </c>
      <c r="E42" s="3" t="s">
        <v>8</v>
      </c>
      <c r="K42" s="5"/>
      <c r="V42" s="6"/>
    </row>
    <row r="43">
      <c r="A43" s="3" t="s">
        <v>80</v>
      </c>
      <c r="B43" s="3" t="s">
        <v>36</v>
      </c>
      <c r="C43" s="3" t="s">
        <v>88</v>
      </c>
      <c r="D43" s="4" t="str">
        <f>HYPERLINK("https://12go.asia/en/travel/erskineville/woolgoolga", "12Go Link")</f>
        <v>12Go Link</v>
      </c>
      <c r="E43" s="3" t="s">
        <v>8</v>
      </c>
      <c r="K43" s="5"/>
      <c r="V43" s="6"/>
    </row>
    <row r="44">
      <c r="A44" s="3" t="s">
        <v>89</v>
      </c>
      <c r="B44" s="3" t="s">
        <v>90</v>
      </c>
      <c r="C44" s="3" t="s">
        <v>91</v>
      </c>
      <c r="D44" s="4" t="str">
        <f>HYPERLINK("https://12go.asia/en/travel/gladstone/maroochydore-sunshine-coast", "12Go Link")</f>
        <v>12Go Link</v>
      </c>
      <c r="E44" s="3" t="s">
        <v>8</v>
      </c>
      <c r="K44" s="5"/>
      <c r="V44" s="6"/>
    </row>
    <row r="45">
      <c r="A45" s="3" t="s">
        <v>89</v>
      </c>
      <c r="B45" s="3" t="s">
        <v>92</v>
      </c>
      <c r="C45" s="3" t="s">
        <v>93</v>
      </c>
      <c r="D45" s="4" t="str">
        <f>HYPERLINK("https://12go.asia/en/travel/gladstone/grandview", "12Go Link")</f>
        <v>12Go Link</v>
      </c>
      <c r="E45" s="3" t="s">
        <v>94</v>
      </c>
      <c r="K45" s="5"/>
      <c r="V45" s="6"/>
    </row>
    <row r="46">
      <c r="A46" s="3" t="s">
        <v>89</v>
      </c>
      <c r="B46" s="3" t="s">
        <v>95</v>
      </c>
      <c r="C46" s="3" t="s">
        <v>96</v>
      </c>
      <c r="D46" s="4" t="str">
        <f>HYPERLINK("https://12go.asia/en/travel/gladstone/ochre-river", "12Go Link")</f>
        <v>12Go Link</v>
      </c>
      <c r="E46" s="3" t="s">
        <v>94</v>
      </c>
      <c r="K46" s="5"/>
      <c r="V46" s="6"/>
    </row>
    <row r="47">
      <c r="A47" s="3" t="s">
        <v>89</v>
      </c>
      <c r="B47" s="3" t="s">
        <v>97</v>
      </c>
      <c r="C47" s="3" t="s">
        <v>98</v>
      </c>
      <c r="D47" s="4" t="str">
        <f>HYPERLINK("https://12go.asia/en/travel/gladstone/plumas", "12Go Link")</f>
        <v>12Go Link</v>
      </c>
      <c r="E47" s="3" t="s">
        <v>94</v>
      </c>
      <c r="K47" s="5"/>
      <c r="V47" s="6"/>
    </row>
    <row r="48">
      <c r="A48" s="3" t="s">
        <v>89</v>
      </c>
      <c r="B48" s="3" t="s">
        <v>99</v>
      </c>
      <c r="C48" s="3" t="s">
        <v>100</v>
      </c>
      <c r="D48" s="4" t="str">
        <f>HYPERLINK("https://12go.asia/en/travel/gladstone/thicket-portage", "12Go Link")</f>
        <v>12Go Link</v>
      </c>
      <c r="E48" s="3" t="s">
        <v>94</v>
      </c>
      <c r="K48" s="5"/>
      <c r="V48" s="8"/>
    </row>
    <row r="49">
      <c r="A49" s="3" t="s">
        <v>24</v>
      </c>
      <c r="B49" s="3" t="s">
        <v>13</v>
      </c>
      <c r="C49" s="3" t="s">
        <v>101</v>
      </c>
      <c r="D49" s="4" t="str">
        <f>HYPERLINK("https://12go.asia/en/travel/surfers-paradise-gold-coast/bilinga", "12Go Link")</f>
        <v>12Go Link</v>
      </c>
      <c r="E49" s="3" t="s">
        <v>8</v>
      </c>
      <c r="K49" s="5"/>
      <c r="V49" s="6"/>
    </row>
    <row r="50">
      <c r="A50" s="3" t="s">
        <v>24</v>
      </c>
      <c r="B50" s="3" t="s">
        <v>13</v>
      </c>
      <c r="C50" s="3" t="s">
        <v>102</v>
      </c>
      <c r="D50" s="4" t="str">
        <f>HYPERLINK("https://12go.asia/en/travel/gold-coast-city/bilinga", "12Go Link")</f>
        <v>12Go Link</v>
      </c>
      <c r="E50" s="3" t="s">
        <v>8</v>
      </c>
      <c r="K50" s="5"/>
      <c r="V50" s="6"/>
    </row>
    <row r="51">
      <c r="A51" s="3" t="s">
        <v>24</v>
      </c>
      <c r="B51" s="3" t="s">
        <v>103</v>
      </c>
      <c r="C51" s="3" t="s">
        <v>104</v>
      </c>
      <c r="D51" s="4" t="str">
        <f>HYPERLINK("https://12go.asia/en/travel/gold-coast-city/canterbury-nsw", "12Go Link")</f>
        <v>12Go Link</v>
      </c>
      <c r="E51" s="3" t="s">
        <v>8</v>
      </c>
      <c r="K51" s="5"/>
      <c r="V51" s="8"/>
    </row>
    <row r="52">
      <c r="A52" s="3" t="s">
        <v>24</v>
      </c>
      <c r="B52" s="3" t="s">
        <v>80</v>
      </c>
      <c r="C52" s="3" t="s">
        <v>105</v>
      </c>
      <c r="D52" s="4" t="str">
        <f>HYPERLINK("https://12go.asia/en/travel/gold-coast-city/erskineville", "12Go Link")</f>
        <v>12Go Link</v>
      </c>
      <c r="E52" s="3" t="s">
        <v>8</v>
      </c>
      <c r="K52" s="5"/>
      <c r="V52" s="8"/>
    </row>
    <row r="53">
      <c r="A53" s="3" t="s">
        <v>24</v>
      </c>
      <c r="B53" s="3" t="s">
        <v>69</v>
      </c>
      <c r="C53" s="3" t="s">
        <v>106</v>
      </c>
      <c r="D53" s="4" t="str">
        <f>HYPERLINK("https://12go.asia/en/travel/gold-coast-city/iluka", "12Go Link")</f>
        <v>12Go Link</v>
      </c>
      <c r="E53" s="3" t="s">
        <v>8</v>
      </c>
      <c r="K53" s="5"/>
      <c r="V53" s="8"/>
    </row>
    <row r="54">
      <c r="A54" s="3" t="s">
        <v>24</v>
      </c>
      <c r="B54" s="3" t="s">
        <v>85</v>
      </c>
      <c r="C54" s="3" t="s">
        <v>107</v>
      </c>
      <c r="D54" s="4" t="str">
        <f>HYPERLINK("https://12go.asia/en/travel/gold-coast-city/maclean", "12Go Link")</f>
        <v>12Go Link</v>
      </c>
      <c r="E54" s="3" t="s">
        <v>8</v>
      </c>
      <c r="K54" s="5"/>
      <c r="V54" s="8"/>
    </row>
    <row r="55">
      <c r="A55" s="3" t="s">
        <v>24</v>
      </c>
      <c r="B55" s="3" t="s">
        <v>85</v>
      </c>
      <c r="C55" s="3" t="s">
        <v>108</v>
      </c>
      <c r="D55" s="4" t="str">
        <f>HYPERLINK("https://12go.asia/en/travel/surfers-paradise-gold-coast/maclean", "12Go Link")</f>
        <v>12Go Link</v>
      </c>
      <c r="E55" s="3" t="s">
        <v>8</v>
      </c>
      <c r="K55" s="5"/>
      <c r="V55" s="6"/>
    </row>
    <row r="56">
      <c r="A56" s="3" t="s">
        <v>24</v>
      </c>
      <c r="B56" s="3" t="s">
        <v>109</v>
      </c>
      <c r="C56" s="3" t="s">
        <v>110</v>
      </c>
      <c r="D56" s="4" t="str">
        <f>HYPERLINK("https://12go.asia/en/travel/gold-coast-city/potts-point-nsw", "12Go Link")</f>
        <v>12Go Link</v>
      </c>
      <c r="E56" s="3" t="s">
        <v>8</v>
      </c>
      <c r="K56" s="5"/>
      <c r="V56" s="8"/>
    </row>
    <row r="57">
      <c r="A57" s="3" t="s">
        <v>24</v>
      </c>
      <c r="B57" s="3" t="s">
        <v>71</v>
      </c>
      <c r="C57" s="3" t="s">
        <v>111</v>
      </c>
      <c r="D57" s="4" t="str">
        <f>HYPERLINK("https://12go.asia/en/travel/gold-coast-city/tweed-heads", "12Go Link")</f>
        <v>12Go Link</v>
      </c>
      <c r="E57" s="3" t="s">
        <v>8</v>
      </c>
      <c r="K57" s="5"/>
      <c r="V57" s="6"/>
    </row>
    <row r="58">
      <c r="A58" s="3" t="s">
        <v>24</v>
      </c>
      <c r="B58" s="3" t="s">
        <v>38</v>
      </c>
      <c r="C58" s="3" t="s">
        <v>112</v>
      </c>
      <c r="D58" s="4" t="str">
        <f>HYPERLINK("https://12go.asia/en/travel/gold-coast-city/yamba", "12Go Link")</f>
        <v>12Go Link</v>
      </c>
      <c r="E58" s="3" t="s">
        <v>8</v>
      </c>
      <c r="K58" s="5"/>
      <c r="V58" s="6"/>
    </row>
    <row r="59">
      <c r="A59" s="3" t="s">
        <v>24</v>
      </c>
      <c r="B59" s="3" t="s">
        <v>38</v>
      </c>
      <c r="C59" s="3" t="s">
        <v>113</v>
      </c>
      <c r="D59" s="4" t="str">
        <f>HYPERLINK("https://12go.asia/en/travel/surfers-paradise-gold-coast/yamba", "12Go Link")</f>
        <v>12Go Link</v>
      </c>
      <c r="E59" s="3" t="s">
        <v>8</v>
      </c>
      <c r="K59" s="5"/>
      <c r="V59" s="8"/>
    </row>
    <row r="60">
      <c r="A60" s="3" t="s">
        <v>114</v>
      </c>
      <c r="B60" s="3" t="s">
        <v>38</v>
      </c>
      <c r="C60" s="3" t="s">
        <v>115</v>
      </c>
      <c r="D60" s="4" t="str">
        <f>HYPERLINK("https://12go.asia/en/travel/grafton/yamba", "12Go Link")</f>
        <v>12Go Link</v>
      </c>
      <c r="E60" s="3" t="s">
        <v>8</v>
      </c>
      <c r="K60" s="5"/>
      <c r="V60" s="6"/>
    </row>
    <row r="61">
      <c r="A61" s="3" t="s">
        <v>54</v>
      </c>
      <c r="B61" s="3" t="s">
        <v>116</v>
      </c>
      <c r="C61" s="3" t="s">
        <v>117</v>
      </c>
      <c r="D61" s="4" t="str">
        <f>HYPERLINK("https://12go.asia/en/travel/gympie/fraser-coast", "12Go Link")</f>
        <v>12Go Link</v>
      </c>
      <c r="E61" s="3" t="s">
        <v>8</v>
      </c>
      <c r="K61" s="5"/>
      <c r="V61" s="6"/>
    </row>
    <row r="62">
      <c r="A62" s="3" t="s">
        <v>69</v>
      </c>
      <c r="B62" s="3" t="s">
        <v>103</v>
      </c>
      <c r="C62" s="3" t="s">
        <v>118</v>
      </c>
      <c r="D62" s="4" t="str">
        <f>HYPERLINK("https://12go.asia/en/travel/iluka/canterbury-nsw", "12Go Link")</f>
        <v>12Go Link</v>
      </c>
      <c r="E62" s="3" t="s">
        <v>8</v>
      </c>
      <c r="K62" s="5"/>
      <c r="V62" s="8"/>
    </row>
    <row r="63">
      <c r="A63" s="3" t="s">
        <v>69</v>
      </c>
      <c r="B63" s="3" t="s">
        <v>80</v>
      </c>
      <c r="C63" s="3" t="s">
        <v>119</v>
      </c>
      <c r="D63" s="4" t="str">
        <f>HYPERLINK("https://12go.asia/en/travel/iluka/erskineville", "12Go Link")</f>
        <v>12Go Link</v>
      </c>
      <c r="E63" s="3" t="s">
        <v>8</v>
      </c>
      <c r="K63" s="5"/>
      <c r="V63" s="6"/>
    </row>
    <row r="64">
      <c r="A64" s="3" t="s">
        <v>69</v>
      </c>
      <c r="B64" s="3" t="s">
        <v>109</v>
      </c>
      <c r="C64" s="3" t="s">
        <v>120</v>
      </c>
      <c r="D64" s="4" t="str">
        <f>HYPERLINK("https://12go.asia/en/travel/iluka/potts-point-nsw", "12Go Link")</f>
        <v>12Go Link</v>
      </c>
      <c r="E64" s="3" t="s">
        <v>8</v>
      </c>
      <c r="K64" s="5"/>
      <c r="V64" s="8"/>
    </row>
    <row r="65">
      <c r="A65" s="3" t="s">
        <v>121</v>
      </c>
      <c r="B65" s="3" t="s">
        <v>54</v>
      </c>
      <c r="C65" s="3" t="s">
        <v>122</v>
      </c>
      <c r="D65" s="4" t="str">
        <f>HYPERLINK("https://12go.asia/en/travel/innisfail/gympie", "12Go Link")</f>
        <v>12Go Link</v>
      </c>
      <c r="E65" s="3" t="s">
        <v>8</v>
      </c>
      <c r="K65" s="5"/>
      <c r="V65" s="8"/>
    </row>
    <row r="66">
      <c r="A66" s="3" t="s">
        <v>123</v>
      </c>
      <c r="B66" s="3" t="s">
        <v>124</v>
      </c>
      <c r="C66" s="3" t="s">
        <v>125</v>
      </c>
      <c r="D66" s="4" t="str">
        <f>HYPERLINK("https://12go.asia/en/travel/ipswich-city/dalby", "12Go Link")</f>
        <v>12Go Link</v>
      </c>
      <c r="E66" s="3" t="s">
        <v>8</v>
      </c>
      <c r="K66" s="5"/>
      <c r="V66" s="6"/>
    </row>
    <row r="67">
      <c r="A67" s="3" t="s">
        <v>123</v>
      </c>
      <c r="B67" s="3" t="s">
        <v>126</v>
      </c>
      <c r="C67" s="3" t="s">
        <v>127</v>
      </c>
      <c r="D67" s="4" t="str">
        <f>HYPERLINK("https://12go.asia/en/travel/ipswich-city/western-downs", "12Go Link")</f>
        <v>12Go Link</v>
      </c>
      <c r="E67" s="3" t="s">
        <v>8</v>
      </c>
      <c r="K67" s="5"/>
      <c r="V67" s="6"/>
    </row>
    <row r="68">
      <c r="A68" s="3" t="s">
        <v>128</v>
      </c>
      <c r="B68" s="3" t="s">
        <v>103</v>
      </c>
      <c r="C68" s="3" t="s">
        <v>129</v>
      </c>
      <c r="D68" s="4" t="str">
        <f>HYPERLINK("https://12go.asia/en/travel/kempsey/canterbury-nsw", "12Go Link")</f>
        <v>12Go Link</v>
      </c>
      <c r="E68" s="3" t="s">
        <v>8</v>
      </c>
      <c r="K68" s="5"/>
      <c r="V68" s="6"/>
    </row>
    <row r="69">
      <c r="A69" s="3" t="s">
        <v>128</v>
      </c>
      <c r="B69" s="3" t="s">
        <v>80</v>
      </c>
      <c r="C69" s="3" t="s">
        <v>130</v>
      </c>
      <c r="D69" s="4" t="str">
        <f>HYPERLINK("https://12go.asia/en/travel/kempsey/erskineville", "12Go Link")</f>
        <v>12Go Link</v>
      </c>
      <c r="E69" s="3" t="s">
        <v>8</v>
      </c>
      <c r="K69" s="5"/>
      <c r="V69" s="6"/>
    </row>
    <row r="70">
      <c r="A70" s="3" t="s">
        <v>128</v>
      </c>
      <c r="B70" s="3" t="s">
        <v>131</v>
      </c>
      <c r="C70" s="3" t="s">
        <v>132</v>
      </c>
      <c r="D70" s="4" t="str">
        <f>HYPERLINK("https://12go.asia/en/travel/kempsey/hastings-shire", "12Go Link")</f>
        <v>12Go Link</v>
      </c>
      <c r="E70" s="3" t="s">
        <v>8</v>
      </c>
      <c r="K70" s="5"/>
      <c r="V70" s="6"/>
    </row>
    <row r="71">
      <c r="A71" s="3" t="s">
        <v>128</v>
      </c>
      <c r="B71" s="3" t="s">
        <v>109</v>
      </c>
      <c r="C71" s="3" t="s">
        <v>133</v>
      </c>
      <c r="D71" s="4" t="str">
        <f>HYPERLINK("https://12go.asia/en/travel/kempsey/potts-point-nsw", "12Go Link")</f>
        <v>12Go Link</v>
      </c>
      <c r="E71" s="3" t="s">
        <v>8</v>
      </c>
      <c r="K71" s="5"/>
      <c r="V71" s="6"/>
    </row>
    <row r="72">
      <c r="A72" s="3" t="s">
        <v>85</v>
      </c>
      <c r="B72" s="3" t="s">
        <v>134</v>
      </c>
      <c r="C72" s="3" t="s">
        <v>135</v>
      </c>
      <c r="D72" s="4" t="str">
        <f>HYPERLINK("https://12go.asia/en/travel/maclean/ballina", "12Go Link")</f>
        <v>12Go Link</v>
      </c>
      <c r="E72" s="3" t="s">
        <v>8</v>
      </c>
      <c r="K72" s="5"/>
      <c r="V72" s="6"/>
    </row>
    <row r="73">
      <c r="A73" s="3" t="s">
        <v>90</v>
      </c>
      <c r="B73" s="3" t="s">
        <v>136</v>
      </c>
      <c r="C73" s="3" t="s">
        <v>137</v>
      </c>
      <c r="D73" s="4" t="str">
        <f>HYPERLINK("https://12go.asia/en/travel/maroochydore-sunshine-coast/cairns-bus-stop", "12Go Link")</f>
        <v>12Go Link</v>
      </c>
      <c r="E73" s="3" t="s">
        <v>8</v>
      </c>
      <c r="K73" s="5"/>
      <c r="V73" s="6"/>
    </row>
    <row r="74">
      <c r="A74" s="3" t="s">
        <v>90</v>
      </c>
      <c r="B74" s="3" t="s">
        <v>54</v>
      </c>
      <c r="C74" s="3" t="s">
        <v>138</v>
      </c>
      <c r="D74" s="4" t="str">
        <f>HYPERLINK("https://12go.asia/en/travel/maroochydore-sunshine-coast/gympie", "12Go Link")</f>
        <v>12Go Link</v>
      </c>
      <c r="E74" s="3" t="s">
        <v>8</v>
      </c>
      <c r="K74" s="5"/>
      <c r="V74" s="6"/>
    </row>
    <row r="75">
      <c r="A75" s="3" t="s">
        <v>90</v>
      </c>
      <c r="B75" s="3" t="s">
        <v>139</v>
      </c>
      <c r="C75" s="3" t="s">
        <v>140</v>
      </c>
      <c r="D75" s="4" t="str">
        <f>HYPERLINK("https://12go.asia/en/travel/maroochydore-sunshine-coast/maryborough", "12Go Link")</f>
        <v>12Go Link</v>
      </c>
      <c r="E75" s="3" t="s">
        <v>8</v>
      </c>
      <c r="K75" s="5"/>
      <c r="V75" s="6"/>
    </row>
    <row r="76">
      <c r="A76" s="3" t="s">
        <v>90</v>
      </c>
      <c r="B76" s="3" t="s">
        <v>141</v>
      </c>
      <c r="C76" s="3" t="s">
        <v>142</v>
      </c>
      <c r="D76" s="4" t="str">
        <f>HYPERLINK("https://12go.asia/en/travel/maroochydore-sunshine-coast/townsville", "12Go Link")</f>
        <v>12Go Link</v>
      </c>
      <c r="E76" s="3" t="s">
        <v>8</v>
      </c>
      <c r="K76" s="5"/>
      <c r="V76" s="6"/>
    </row>
    <row r="77">
      <c r="A77" s="3" t="s">
        <v>139</v>
      </c>
      <c r="B77" s="3" t="s">
        <v>90</v>
      </c>
      <c r="C77" s="3" t="s">
        <v>143</v>
      </c>
      <c r="D77" s="4" t="str">
        <f>HYPERLINK("https://12go.asia/en/travel/maryborough/maroochydore-sunshine-coast", "12Go Link")</f>
        <v>12Go Link</v>
      </c>
      <c r="E77" s="3" t="s">
        <v>8</v>
      </c>
      <c r="K77" s="5"/>
      <c r="V77" s="8"/>
    </row>
    <row r="78">
      <c r="A78" s="3" t="s">
        <v>144</v>
      </c>
      <c r="B78" s="3" t="s">
        <v>54</v>
      </c>
      <c r="C78" s="3" t="s">
        <v>145</v>
      </c>
      <c r="D78" s="4" t="str">
        <f>HYPERLINK("https://12go.asia/en/travel/mooloolaba/gympie", "12Go Link")</f>
        <v>12Go Link</v>
      </c>
      <c r="E78" s="3" t="s">
        <v>8</v>
      </c>
      <c r="K78" s="5"/>
      <c r="V78" s="6"/>
    </row>
    <row r="79">
      <c r="A79" s="3" t="s">
        <v>146</v>
      </c>
      <c r="B79" s="3" t="s">
        <v>63</v>
      </c>
      <c r="C79" s="3" t="s">
        <v>147</v>
      </c>
      <c r="D79" s="4" t="str">
        <f>HYPERLINK("https://12go.asia/en/travel/murweh/winton", "12Go Link")</f>
        <v>12Go Link</v>
      </c>
      <c r="E79" s="3" t="s">
        <v>8</v>
      </c>
      <c r="K79" s="5"/>
      <c r="V79" s="6"/>
    </row>
    <row r="80">
      <c r="A80" s="3" t="s">
        <v>148</v>
      </c>
      <c r="B80" s="3" t="s">
        <v>149</v>
      </c>
      <c r="C80" s="3" t="s">
        <v>150</v>
      </c>
      <c r="D80" s="4" t="str">
        <f>HYPERLINK("https://12go.asia/en/travel/broadmeadow/ahmedabad-jn", "12Go Link")</f>
        <v>12Go Link</v>
      </c>
      <c r="E80" s="3" t="s">
        <v>94</v>
      </c>
      <c r="K80" s="5"/>
      <c r="V80" s="6"/>
    </row>
    <row r="81">
      <c r="A81" s="3" t="s">
        <v>148</v>
      </c>
      <c r="B81" s="3" t="s">
        <v>149</v>
      </c>
      <c r="C81" s="3" t="s">
        <v>151</v>
      </c>
      <c r="D81" s="4" t="str">
        <f>HYPERLINK("https://12go.asia/en/travel/newcastle-new-south-wales/ahmedabad", "12Go Link")</f>
        <v>12Go Link</v>
      </c>
      <c r="E81" s="3" t="s">
        <v>94</v>
      </c>
      <c r="K81" s="5"/>
      <c r="V81" s="6"/>
    </row>
    <row r="82">
      <c r="A82" s="3" t="s">
        <v>148</v>
      </c>
      <c r="B82" s="3" t="s">
        <v>152</v>
      </c>
      <c r="C82" s="3" t="s">
        <v>153</v>
      </c>
      <c r="D82" s="4" t="str">
        <f>HYPERLINK("https://12go.asia/en/travel/broadmeadow/gooty", "12Go Link")</f>
        <v>12Go Link</v>
      </c>
      <c r="E82" s="3" t="s">
        <v>94</v>
      </c>
      <c r="K82" s="5"/>
      <c r="V82" s="8"/>
    </row>
    <row r="83">
      <c r="A83" s="3" t="s">
        <v>148</v>
      </c>
      <c r="B83" s="3" t="s">
        <v>152</v>
      </c>
      <c r="C83" s="3" t="s">
        <v>154</v>
      </c>
      <c r="D83" s="4" t="str">
        <f>HYPERLINK("https://12go.asia/en/travel/newcastle-new-south-wales/gooty", "12Go Link")</f>
        <v>12Go Link</v>
      </c>
      <c r="E83" s="3" t="s">
        <v>94</v>
      </c>
      <c r="K83" s="5"/>
      <c r="V83" s="6"/>
    </row>
    <row r="84">
      <c r="A84" s="3" t="s">
        <v>148</v>
      </c>
      <c r="B84" s="3" t="s">
        <v>155</v>
      </c>
      <c r="C84" s="3" t="s">
        <v>156</v>
      </c>
      <c r="D84" s="4" t="str">
        <f>HYPERLINK("https://12go.asia/en/travel/newcastle-new-south-wales/gujarat", "12Go Link")</f>
        <v>12Go Link</v>
      </c>
      <c r="E84" s="3" t="s">
        <v>94</v>
      </c>
      <c r="K84" s="5"/>
      <c r="V84" s="6"/>
    </row>
    <row r="85">
      <c r="A85" s="3" t="s">
        <v>148</v>
      </c>
      <c r="B85" s="3" t="s">
        <v>157</v>
      </c>
      <c r="C85" s="3" t="s">
        <v>158</v>
      </c>
      <c r="D85" s="4" t="str">
        <f>HYPERLINK("https://12go.asia/en/travel/broadmeadow/kalaburagi-junction", "12Go Link")</f>
        <v>12Go Link</v>
      </c>
      <c r="E85" s="3" t="s">
        <v>94</v>
      </c>
      <c r="K85" s="5"/>
      <c r="V85" s="6"/>
    </row>
    <row r="86">
      <c r="A86" s="3" t="s">
        <v>148</v>
      </c>
      <c r="B86" s="3" t="s">
        <v>157</v>
      </c>
      <c r="C86" s="3" t="s">
        <v>159</v>
      </c>
      <c r="D86" s="4" t="str">
        <f>HYPERLINK("https://12go.asia/en/travel/newcastle-new-south-wales/kalaburagi", "12Go Link")</f>
        <v>12Go Link</v>
      </c>
      <c r="E86" s="3" t="s">
        <v>94</v>
      </c>
      <c r="K86" s="5"/>
      <c r="V86" s="6"/>
    </row>
    <row r="87">
      <c r="A87" s="3" t="s">
        <v>148</v>
      </c>
      <c r="B87" s="3" t="s">
        <v>160</v>
      </c>
      <c r="C87" s="3" t="s">
        <v>161</v>
      </c>
      <c r="D87" s="4" t="str">
        <f>HYPERLINK("https://12go.asia/en/travel/broadmeadow/kurnool-town", "12Go Link")</f>
        <v>12Go Link</v>
      </c>
      <c r="E87" s="3" t="s">
        <v>94</v>
      </c>
      <c r="K87" s="5"/>
      <c r="V87" s="6"/>
    </row>
    <row r="88">
      <c r="A88" s="3" t="s">
        <v>148</v>
      </c>
      <c r="B88" s="3" t="s">
        <v>160</v>
      </c>
      <c r="C88" s="3" t="s">
        <v>162</v>
      </c>
      <c r="D88" s="4" t="str">
        <f>HYPERLINK("https://12go.asia/en/travel/newcastle-new-south-wales/kurnool", "12Go Link")</f>
        <v>12Go Link</v>
      </c>
      <c r="E88" s="3" t="s">
        <v>94</v>
      </c>
      <c r="K88" s="5"/>
      <c r="V88" s="6"/>
    </row>
    <row r="89">
      <c r="A89" s="3" t="s">
        <v>148</v>
      </c>
      <c r="B89" s="3" t="s">
        <v>163</v>
      </c>
      <c r="C89" s="3" t="s">
        <v>164</v>
      </c>
      <c r="D89" s="4" t="str">
        <f>HYPERLINK("https://12go.asia/en/travel/broadmeadow/miraj-junction", "12Go Link")</f>
        <v>12Go Link</v>
      </c>
      <c r="E89" s="3" t="s">
        <v>94</v>
      </c>
      <c r="K89" s="5"/>
      <c r="O89" s="9"/>
      <c r="V89" s="6"/>
    </row>
    <row r="90">
      <c r="A90" s="3" t="s">
        <v>148</v>
      </c>
      <c r="B90" s="3" t="s">
        <v>165</v>
      </c>
      <c r="C90" s="3" t="s">
        <v>166</v>
      </c>
      <c r="D90" s="4" t="str">
        <f>HYPERLINK("https://12go.asia/en/travel/newcastle-new-south-wales/margao", "12Go Link")</f>
        <v>12Go Link</v>
      </c>
      <c r="E90" s="3" t="s">
        <v>94</v>
      </c>
      <c r="K90" s="5"/>
      <c r="V90" s="8"/>
    </row>
    <row r="91">
      <c r="A91" s="3" t="s">
        <v>148</v>
      </c>
      <c r="B91" s="3" t="s">
        <v>167</v>
      </c>
      <c r="C91" s="3" t="s">
        <v>168</v>
      </c>
      <c r="D91" s="4" t="str">
        <f>HYPERLINK("https://12go.asia/en/travel/broadmeadow/mathura-jn", "12Go Link")</f>
        <v>12Go Link</v>
      </c>
      <c r="E91" s="3" t="s">
        <v>94</v>
      </c>
      <c r="K91" s="5"/>
      <c r="V91" s="8"/>
    </row>
    <row r="92">
      <c r="A92" s="3" t="s">
        <v>148</v>
      </c>
      <c r="B92" s="3" t="s">
        <v>167</v>
      </c>
      <c r="C92" s="3" t="s">
        <v>169</v>
      </c>
      <c r="D92" s="4" t="str">
        <f>HYPERLINK("https://12go.asia/en/travel/newcastle-new-south-wales/mathura", "12Go Link")</f>
        <v>12Go Link</v>
      </c>
      <c r="E92" s="3" t="s">
        <v>94</v>
      </c>
      <c r="K92" s="5"/>
      <c r="V92" s="6"/>
    </row>
    <row r="93">
      <c r="A93" s="3" t="s">
        <v>148</v>
      </c>
      <c r="B93" s="3" t="s">
        <v>170</v>
      </c>
      <c r="C93" s="3" t="s">
        <v>171</v>
      </c>
      <c r="D93" s="4" t="str">
        <f>HYPERLINK("https://12go.asia/en/travel/newcastle-new-south-wales/miraj", "12Go Link")</f>
        <v>12Go Link</v>
      </c>
      <c r="E93" s="3" t="s">
        <v>94</v>
      </c>
      <c r="K93" s="5"/>
      <c r="V93" s="6"/>
    </row>
    <row r="94">
      <c r="A94" s="3" t="s">
        <v>148</v>
      </c>
      <c r="B94" s="3" t="s">
        <v>172</v>
      </c>
      <c r="C94" s="3" t="s">
        <v>173</v>
      </c>
      <c r="D94" s="4" t="str">
        <f>HYPERLINK("https://12go.asia/en/travel/broadmeadow/mysore-jn", "12Go Link")</f>
        <v>12Go Link</v>
      </c>
      <c r="E94" s="3" t="s">
        <v>94</v>
      </c>
      <c r="K94" s="5"/>
      <c r="V94" s="6"/>
    </row>
    <row r="95">
      <c r="A95" s="3" t="s">
        <v>148</v>
      </c>
      <c r="B95" s="3" t="s">
        <v>172</v>
      </c>
      <c r="C95" s="3" t="s">
        <v>174</v>
      </c>
      <c r="D95" s="4" t="str">
        <f>HYPERLINK("https://12go.asia/en/travel/newcastle-new-south-wales/mysore", "12Go Link")</f>
        <v>12Go Link</v>
      </c>
      <c r="E95" s="3" t="s">
        <v>94</v>
      </c>
      <c r="K95" s="5"/>
      <c r="V95" s="6"/>
    </row>
    <row r="96">
      <c r="A96" s="3" t="s">
        <v>148</v>
      </c>
      <c r="B96" s="3" t="s">
        <v>175</v>
      </c>
      <c r="C96" s="3" t="s">
        <v>176</v>
      </c>
      <c r="D96" s="4" t="str">
        <f>HYPERLINK("https://12go.asia/en/travel/newcastle-new-south-wales/sangli", "12Go Link")</f>
        <v>12Go Link</v>
      </c>
      <c r="E96" s="3" t="s">
        <v>94</v>
      </c>
      <c r="K96" s="5"/>
      <c r="V96" s="6"/>
    </row>
    <row r="97">
      <c r="A97" s="3" t="s">
        <v>148</v>
      </c>
      <c r="B97" s="3" t="s">
        <v>177</v>
      </c>
      <c r="C97" s="3" t="s">
        <v>178</v>
      </c>
      <c r="D97" s="4" t="str">
        <f>HYPERLINK("https://12go.asia/en/travel/broadmeadow/shimoga-town", "12Go Link")</f>
        <v>12Go Link</v>
      </c>
      <c r="E97" s="3" t="s">
        <v>94</v>
      </c>
      <c r="K97" s="5"/>
      <c r="V97" s="6"/>
    </row>
    <row r="98">
      <c r="A98" s="3" t="s">
        <v>148</v>
      </c>
      <c r="B98" s="3" t="s">
        <v>177</v>
      </c>
      <c r="C98" s="3" t="s">
        <v>179</v>
      </c>
      <c r="D98" s="4" t="str">
        <f>HYPERLINK("https://12go.asia/en/travel/newcastle-new-south-wales/shimoga", "12Go Link")</f>
        <v>12Go Link</v>
      </c>
      <c r="E98" s="3" t="s">
        <v>94</v>
      </c>
      <c r="K98" s="5"/>
      <c r="V98" s="10"/>
    </row>
    <row r="99">
      <c r="A99" s="3" t="s">
        <v>148</v>
      </c>
      <c r="B99" s="3" t="s">
        <v>180</v>
      </c>
      <c r="C99" s="3" t="s">
        <v>181</v>
      </c>
      <c r="D99" s="4" t="str">
        <f>HYPERLINK("https://12go.asia/en/travel/broadmeadow/surat", "12Go Link")</f>
        <v>12Go Link</v>
      </c>
      <c r="E99" s="3" t="s">
        <v>94</v>
      </c>
      <c r="K99" s="5"/>
      <c r="V99" s="6"/>
    </row>
    <row r="100">
      <c r="A100" s="3" t="s">
        <v>148</v>
      </c>
      <c r="B100" s="3" t="s">
        <v>180</v>
      </c>
      <c r="C100" s="3" t="s">
        <v>182</v>
      </c>
      <c r="D100" s="4" t="str">
        <f>HYPERLINK("https://12go.asia/en/travel/newcastle-new-south-wales/surat", "12Go Link")</f>
        <v>12Go Link</v>
      </c>
      <c r="E100" s="3" t="s">
        <v>94</v>
      </c>
      <c r="K100" s="5"/>
      <c r="V100" s="8"/>
    </row>
    <row r="101">
      <c r="A101" s="3" t="s">
        <v>148</v>
      </c>
      <c r="B101" s="3" t="s">
        <v>183</v>
      </c>
      <c r="C101" s="3" t="s">
        <v>184</v>
      </c>
      <c r="D101" s="4" t="str">
        <f>HYPERLINK("https://12go.asia/en/travel/broadmeadow/tumkur", "12Go Link")</f>
        <v>12Go Link</v>
      </c>
      <c r="E101" s="3" t="s">
        <v>94</v>
      </c>
      <c r="K101" s="5"/>
      <c r="V101" s="6"/>
    </row>
    <row r="102">
      <c r="A102" s="3" t="s">
        <v>148</v>
      </c>
      <c r="B102" s="3" t="s">
        <v>183</v>
      </c>
      <c r="C102" s="3" t="s">
        <v>185</v>
      </c>
      <c r="D102" s="4" t="str">
        <f>HYPERLINK("https://12go.asia/en/travel/newcastle-new-south-wales/tumakuru", "12Go Link")</f>
        <v>12Go Link</v>
      </c>
      <c r="E102" s="3" t="s">
        <v>94</v>
      </c>
      <c r="K102" s="5"/>
      <c r="V102" s="6"/>
    </row>
    <row r="103">
      <c r="A103" s="3" t="s">
        <v>148</v>
      </c>
      <c r="B103" s="3" t="s">
        <v>186</v>
      </c>
      <c r="C103" s="3" t="s">
        <v>187</v>
      </c>
      <c r="D103" s="4" t="str">
        <f>HYPERLINK("https://12go.asia/en/travel/broadmeadow/vadodara", "12Go Link")</f>
        <v>12Go Link</v>
      </c>
      <c r="E103" s="3" t="s">
        <v>94</v>
      </c>
      <c r="K103" s="5"/>
      <c r="V103" s="6"/>
    </row>
    <row r="104">
      <c r="A104" s="3" t="s">
        <v>148</v>
      </c>
      <c r="B104" s="3" t="s">
        <v>186</v>
      </c>
      <c r="C104" s="3" t="s">
        <v>188</v>
      </c>
      <c r="D104" s="4" t="str">
        <f>HYPERLINK("https://12go.asia/en/travel/newcastle-new-south-wales/vadodara", "12Go Link")</f>
        <v>12Go Link</v>
      </c>
      <c r="E104" s="3" t="s">
        <v>94</v>
      </c>
      <c r="K104" s="5"/>
    </row>
    <row r="105">
      <c r="A105" s="3" t="s">
        <v>148</v>
      </c>
      <c r="B105" s="3" t="s">
        <v>189</v>
      </c>
      <c r="C105" s="3" t="s">
        <v>190</v>
      </c>
      <c r="D105" s="4" t="str">
        <f>HYPERLINK("https://12go.asia/en/travel/newcastle-new-south-wales/vrindavan", "12Go Link")</f>
        <v>12Go Link</v>
      </c>
      <c r="E105" s="3" t="s">
        <v>94</v>
      </c>
      <c r="K105" s="5"/>
    </row>
    <row r="106">
      <c r="A106" s="3" t="s">
        <v>78</v>
      </c>
      <c r="B106" s="3" t="s">
        <v>44</v>
      </c>
      <c r="C106" s="3" t="s">
        <v>191</v>
      </c>
      <c r="D106" s="4" t="str">
        <f>HYPERLINK("https://12go.asia/en/travel/proserpine/cooroy-sunshine-coast", "12Go Link")</f>
        <v>12Go Link</v>
      </c>
      <c r="E106" s="3" t="s">
        <v>8</v>
      </c>
      <c r="K106" s="5"/>
    </row>
    <row r="107">
      <c r="A107" s="3" t="s">
        <v>32</v>
      </c>
      <c r="B107" s="3" t="s">
        <v>50</v>
      </c>
      <c r="C107" s="3" t="s">
        <v>192</v>
      </c>
      <c r="D107" s="4" t="str">
        <f>HYPERLINK("https://12go.asia/en/travel/rockhampton/ayr", "12Go Link")</f>
        <v>12Go Link</v>
      </c>
      <c r="E107" s="3" t="s">
        <v>8</v>
      </c>
      <c r="K107" s="5"/>
    </row>
    <row r="108">
      <c r="A108" s="3" t="s">
        <v>32</v>
      </c>
      <c r="B108" s="3" t="s">
        <v>52</v>
      </c>
      <c r="C108" s="3" t="s">
        <v>193</v>
      </c>
      <c r="D108" s="4" t="str">
        <f>HYPERLINK("https://12go.asia/en/travel/rockhampton/burdekin-shire", "12Go Link")</f>
        <v>12Go Link</v>
      </c>
      <c r="E108" s="3" t="s">
        <v>8</v>
      </c>
      <c r="K108" s="5"/>
    </row>
    <row r="109">
      <c r="A109" s="3" t="s">
        <v>32</v>
      </c>
      <c r="B109" s="3" t="s">
        <v>194</v>
      </c>
      <c r="C109" s="3" t="s">
        <v>195</v>
      </c>
      <c r="D109" s="4" t="str">
        <f>HYPERLINK("https://12go.asia/en/travel/rockhampton/home-hill", "12Go Link")</f>
        <v>12Go Link</v>
      </c>
      <c r="E109" s="3" t="s">
        <v>8</v>
      </c>
      <c r="K109" s="5"/>
    </row>
    <row r="110">
      <c r="A110" s="3" t="s">
        <v>32</v>
      </c>
      <c r="B110" s="3" t="s">
        <v>90</v>
      </c>
      <c r="C110" s="3" t="s">
        <v>196</v>
      </c>
      <c r="D110" s="4" t="str">
        <f>HYPERLINK("https://12go.asia/en/travel/rockhampton/maroochydore-sunshine-coast", "12Go Link")</f>
        <v>12Go Link</v>
      </c>
      <c r="E110" s="3" t="s">
        <v>8</v>
      </c>
      <c r="K110" s="5"/>
    </row>
    <row r="111">
      <c r="A111" s="3" t="s">
        <v>32</v>
      </c>
      <c r="B111" s="3" t="s">
        <v>197</v>
      </c>
      <c r="C111" s="3" t="s">
        <v>198</v>
      </c>
      <c r="D111" s="4" t="str">
        <f>HYPERLINK("https://12go.asia/en/travel/rockhampton/the-gemfields", "12Go Link")</f>
        <v>12Go Link</v>
      </c>
      <c r="E111" s="3" t="s">
        <v>8</v>
      </c>
      <c r="K111" s="5"/>
    </row>
    <row r="112">
      <c r="A112" s="3" t="s">
        <v>47</v>
      </c>
      <c r="B112" s="3" t="s">
        <v>74</v>
      </c>
      <c r="C112" s="3" t="s">
        <v>199</v>
      </c>
      <c r="D112" s="4" t="str">
        <f>HYPERLINK("https://12go.asia/en/travel/snowy-monaro/jindabyne", "12Go Link")</f>
        <v>12Go Link</v>
      </c>
      <c r="E112" s="3" t="s">
        <v>8</v>
      </c>
      <c r="K112" s="5"/>
    </row>
    <row r="113">
      <c r="A113" s="3" t="s">
        <v>27</v>
      </c>
      <c r="B113" s="3" t="s">
        <v>13</v>
      </c>
      <c r="C113" s="3" t="s">
        <v>200</v>
      </c>
      <c r="D113" s="4" t="str">
        <f>HYPERLINK("https://12go.asia/en/travel/southport-gold-coast/bilinga", "12Go Link")</f>
        <v>12Go Link</v>
      </c>
      <c r="E113" s="3" t="s">
        <v>8</v>
      </c>
      <c r="K113" s="5"/>
    </row>
    <row r="114">
      <c r="A114" s="3" t="s">
        <v>27</v>
      </c>
      <c r="B114" s="3" t="s">
        <v>67</v>
      </c>
      <c r="C114" s="3" t="s">
        <v>201</v>
      </c>
      <c r="D114" s="4" t="str">
        <f>HYPERLINK("https://12go.asia/en/travel/southport-gold-coast/coolangatta", "12Go Link")</f>
        <v>12Go Link</v>
      </c>
      <c r="E114" s="3" t="s">
        <v>8</v>
      </c>
      <c r="K114" s="5"/>
    </row>
    <row r="115">
      <c r="A115" s="3" t="s">
        <v>27</v>
      </c>
      <c r="B115" s="3" t="s">
        <v>71</v>
      </c>
      <c r="C115" s="3" t="s">
        <v>202</v>
      </c>
      <c r="D115" s="4" t="str">
        <f>HYPERLINK("https://12go.asia/en/travel/southport-gold-coast/tweed-heads", "12Go Link")</f>
        <v>12Go Link</v>
      </c>
      <c r="E115" s="3" t="s">
        <v>8</v>
      </c>
      <c r="K115" s="5"/>
    </row>
    <row r="116">
      <c r="A116" s="3" t="s">
        <v>203</v>
      </c>
      <c r="B116" s="3" t="s">
        <v>36</v>
      </c>
      <c r="C116" s="3" t="s">
        <v>204</v>
      </c>
      <c r="D116" s="4" t="str">
        <f>HYPERLINK("https://12go.asia/en/travel/sydney-central-station/arrawarra", "12Go Link")</f>
        <v>12Go Link</v>
      </c>
      <c r="E116" s="3" t="s">
        <v>8</v>
      </c>
      <c r="K116" s="5"/>
    </row>
    <row r="117">
      <c r="A117" s="3" t="s">
        <v>205</v>
      </c>
      <c r="B117" s="3" t="s">
        <v>10</v>
      </c>
      <c r="C117" s="3" t="s">
        <v>206</v>
      </c>
      <c r="D117" s="4" t="str">
        <f>HYPERLINK("https://12go.asia/en/travel/tempe/albury", "12Go Link")</f>
        <v>12Go Link</v>
      </c>
      <c r="E117" s="3" t="s">
        <v>8</v>
      </c>
      <c r="K117" s="5"/>
    </row>
    <row r="118">
      <c r="A118" s="3" t="s">
        <v>205</v>
      </c>
      <c r="B118" s="3" t="s">
        <v>46</v>
      </c>
      <c r="C118" s="3" t="s">
        <v>207</v>
      </c>
      <c r="D118" s="4" t="str">
        <f>HYPERLINK("https://12go.asia/en/travel/tempe/canberra", "12Go Link")</f>
        <v>12Go Link</v>
      </c>
      <c r="E118" s="3" t="s">
        <v>8</v>
      </c>
      <c r="K118" s="5"/>
    </row>
    <row r="119">
      <c r="A119" s="3" t="s">
        <v>205</v>
      </c>
      <c r="B119" s="3" t="s">
        <v>208</v>
      </c>
      <c r="C119" s="3" t="s">
        <v>209</v>
      </c>
      <c r="D119" s="4" t="str">
        <f>HYPERLINK("https://12go.asia/en/travel/tempe/melbourne", "12Go Link")</f>
        <v>12Go Link</v>
      </c>
      <c r="E119" s="3" t="s">
        <v>8</v>
      </c>
      <c r="K119" s="5"/>
    </row>
    <row r="120">
      <c r="A120" s="3" t="s">
        <v>205</v>
      </c>
      <c r="B120" s="3" t="s">
        <v>210</v>
      </c>
      <c r="C120" s="3" t="s">
        <v>211</v>
      </c>
      <c r="D120" s="4" t="str">
        <f>HYPERLINK("https://12go.asia/en/travel/tempe/southern-cross", "12Go Link")</f>
        <v>12Go Link</v>
      </c>
      <c r="E120" s="3" t="s">
        <v>8</v>
      </c>
      <c r="K120" s="5"/>
    </row>
    <row r="121">
      <c r="A121" s="3" t="s">
        <v>197</v>
      </c>
      <c r="B121" s="3" t="s">
        <v>212</v>
      </c>
      <c r="C121" s="3" t="s">
        <v>213</v>
      </c>
      <c r="D121" s="4" t="str">
        <f>HYPERLINK("https://12go.asia/en/travel/anakie/longreach", "12Go Link")</f>
        <v>12Go Link</v>
      </c>
      <c r="E121" s="3" t="s">
        <v>8</v>
      </c>
      <c r="K121" s="5"/>
    </row>
    <row r="122">
      <c r="A122" s="3" t="s">
        <v>197</v>
      </c>
      <c r="B122" s="3" t="s">
        <v>212</v>
      </c>
      <c r="C122" s="3" t="s">
        <v>214</v>
      </c>
      <c r="D122" s="4" t="str">
        <f>HYPERLINK("https://12go.asia/en/travel/the-gemfields/longreach", "12Go Link")</f>
        <v>12Go Link</v>
      </c>
      <c r="E122" s="3" t="s">
        <v>8</v>
      </c>
      <c r="K122" s="5"/>
    </row>
    <row r="123">
      <c r="A123" s="3" t="s">
        <v>36</v>
      </c>
      <c r="B123" s="3" t="s">
        <v>14</v>
      </c>
      <c r="C123" s="3" t="s">
        <v>215</v>
      </c>
      <c r="D123" s="4" t="str">
        <f>HYPERLINK("https://12go.asia/en/travel/arrawarra/brisbane-coach-terminal", "12Go Link")</f>
        <v>12Go Link</v>
      </c>
      <c r="E123" s="3" t="s">
        <v>8</v>
      </c>
      <c r="K123" s="5"/>
    </row>
    <row r="124">
      <c r="A124" s="3" t="s">
        <v>36</v>
      </c>
      <c r="B124" s="3" t="s">
        <v>203</v>
      </c>
      <c r="C124" s="3" t="s">
        <v>216</v>
      </c>
      <c r="D124" s="4" t="str">
        <f>HYPERLINK("https://12go.asia/en/travel/arrawarra/sydney-central-station", "12Go Link")</f>
        <v>12Go Link</v>
      </c>
      <c r="E124" s="3" t="s">
        <v>8</v>
      </c>
      <c r="K124" s="5"/>
    </row>
    <row r="125">
      <c r="A125" s="3" t="s">
        <v>38</v>
      </c>
      <c r="B125" s="3" t="s">
        <v>13</v>
      </c>
      <c r="C125" s="3" t="s">
        <v>217</v>
      </c>
      <c r="D125" s="4" t="str">
        <f>HYPERLINK("https://12go.asia/en/travel/yamba/bilinga", "12Go Link")</f>
        <v>12Go Link</v>
      </c>
      <c r="E125" s="3" t="s">
        <v>8</v>
      </c>
      <c r="K125" s="5"/>
    </row>
    <row r="126">
      <c r="A126" s="3" t="s">
        <v>38</v>
      </c>
      <c r="B126" s="3" t="s">
        <v>114</v>
      </c>
      <c r="C126" s="3" t="s">
        <v>218</v>
      </c>
      <c r="D126" s="4" t="str">
        <f>HYPERLINK("https://12go.asia/en/travel/yamba/grafton", "12Go Link")</f>
        <v>12Go Link</v>
      </c>
      <c r="E126" s="3" t="s">
        <v>8</v>
      </c>
      <c r="K126" s="5"/>
    </row>
    <row r="127">
      <c r="A127" s="3" t="s">
        <v>219</v>
      </c>
      <c r="B127" s="3" t="s">
        <v>220</v>
      </c>
      <c r="C127" s="3" t="s">
        <v>221</v>
      </c>
      <c r="D127" s="4" t="str">
        <f t="shared" ref="D127:D133" si="1">HYPERLINK("https://12go.asia/en/travel/Banteay-Meanchey/Phnom-Penh-Transfer", "12Go Link")</f>
        <v>12Go Link</v>
      </c>
      <c r="E127" s="3" t="s">
        <v>222</v>
      </c>
      <c r="K127" s="5"/>
    </row>
    <row r="128">
      <c r="A128" s="3" t="s">
        <v>219</v>
      </c>
      <c r="B128" s="3" t="s">
        <v>220</v>
      </c>
      <c r="C128" s="3" t="s">
        <v>221</v>
      </c>
      <c r="D128" s="4" t="str">
        <f t="shared" si="1"/>
        <v>12Go Link</v>
      </c>
      <c r="E128" s="3" t="s">
        <v>223</v>
      </c>
      <c r="K128" s="5"/>
    </row>
    <row r="129">
      <c r="A129" s="3" t="s">
        <v>219</v>
      </c>
      <c r="B129" s="3" t="s">
        <v>220</v>
      </c>
      <c r="C129" s="3" t="s">
        <v>221</v>
      </c>
      <c r="D129" s="4" t="str">
        <f t="shared" si="1"/>
        <v>12Go Link</v>
      </c>
      <c r="E129" s="3" t="s">
        <v>224</v>
      </c>
      <c r="K129" s="5"/>
    </row>
    <row r="130">
      <c r="A130" s="3" t="s">
        <v>219</v>
      </c>
      <c r="B130" s="3" t="s">
        <v>220</v>
      </c>
      <c r="C130" s="3" t="s">
        <v>221</v>
      </c>
      <c r="D130" s="4" t="str">
        <f t="shared" si="1"/>
        <v>12Go Link</v>
      </c>
      <c r="E130" s="3" t="s">
        <v>225</v>
      </c>
      <c r="K130" s="5"/>
    </row>
    <row r="131">
      <c r="A131" s="3" t="s">
        <v>219</v>
      </c>
      <c r="B131" s="3" t="s">
        <v>220</v>
      </c>
      <c r="C131" s="3" t="s">
        <v>221</v>
      </c>
      <c r="D131" s="4" t="str">
        <f t="shared" si="1"/>
        <v>12Go Link</v>
      </c>
      <c r="E131" s="3" t="s">
        <v>226</v>
      </c>
      <c r="K131" s="5"/>
    </row>
    <row r="132">
      <c r="A132" s="3" t="s">
        <v>219</v>
      </c>
      <c r="B132" s="3" t="s">
        <v>220</v>
      </c>
      <c r="C132" s="3" t="s">
        <v>221</v>
      </c>
      <c r="D132" s="4" t="str">
        <f t="shared" si="1"/>
        <v>12Go Link</v>
      </c>
      <c r="E132" s="3" t="s">
        <v>227</v>
      </c>
      <c r="K132" s="5"/>
    </row>
    <row r="133">
      <c r="A133" s="3" t="s">
        <v>219</v>
      </c>
      <c r="B133" s="3" t="s">
        <v>220</v>
      </c>
      <c r="C133" s="3" t="s">
        <v>221</v>
      </c>
      <c r="D133" s="4" t="str">
        <f t="shared" si="1"/>
        <v>12Go Link</v>
      </c>
      <c r="E133" s="3" t="s">
        <v>228</v>
      </c>
      <c r="K133" s="5"/>
    </row>
    <row r="134">
      <c r="A134" s="3" t="s">
        <v>219</v>
      </c>
      <c r="B134" s="3" t="s">
        <v>220</v>
      </c>
      <c r="C134" s="3" t="s">
        <v>229</v>
      </c>
      <c r="D134" s="4" t="str">
        <f t="shared" ref="D134:D140" si="2">HYPERLINK("https://12go.asia/en/travel/Poipet/Phnom-Penh-Transfer", "12Go Link")</f>
        <v>12Go Link</v>
      </c>
      <c r="E134" s="3" t="s">
        <v>222</v>
      </c>
      <c r="K134" s="5"/>
    </row>
    <row r="135">
      <c r="A135" s="3" t="s">
        <v>219</v>
      </c>
      <c r="B135" s="3" t="s">
        <v>220</v>
      </c>
      <c r="C135" s="3" t="s">
        <v>229</v>
      </c>
      <c r="D135" s="4" t="str">
        <f t="shared" si="2"/>
        <v>12Go Link</v>
      </c>
      <c r="E135" s="3" t="s">
        <v>223</v>
      </c>
      <c r="K135" s="5"/>
    </row>
    <row r="136">
      <c r="A136" s="3" t="s">
        <v>219</v>
      </c>
      <c r="B136" s="3" t="s">
        <v>220</v>
      </c>
      <c r="C136" s="3" t="s">
        <v>229</v>
      </c>
      <c r="D136" s="4" t="str">
        <f t="shared" si="2"/>
        <v>12Go Link</v>
      </c>
      <c r="E136" s="3" t="s">
        <v>224</v>
      </c>
      <c r="K136" s="5"/>
    </row>
    <row r="137">
      <c r="A137" s="3" t="s">
        <v>219</v>
      </c>
      <c r="B137" s="3" t="s">
        <v>220</v>
      </c>
      <c r="C137" s="3" t="s">
        <v>229</v>
      </c>
      <c r="D137" s="4" t="str">
        <f t="shared" si="2"/>
        <v>12Go Link</v>
      </c>
      <c r="E137" s="3" t="s">
        <v>225</v>
      </c>
      <c r="K137" s="5"/>
    </row>
    <row r="138">
      <c r="A138" s="3" t="s">
        <v>219</v>
      </c>
      <c r="B138" s="3" t="s">
        <v>220</v>
      </c>
      <c r="C138" s="3" t="s">
        <v>229</v>
      </c>
      <c r="D138" s="4" t="str">
        <f t="shared" si="2"/>
        <v>12Go Link</v>
      </c>
      <c r="E138" s="3" t="s">
        <v>226</v>
      </c>
      <c r="K138" s="5"/>
    </row>
    <row r="139">
      <c r="A139" s="3" t="s">
        <v>219</v>
      </c>
      <c r="B139" s="3" t="s">
        <v>220</v>
      </c>
      <c r="C139" s="3" t="s">
        <v>229</v>
      </c>
      <c r="D139" s="4" t="str">
        <f t="shared" si="2"/>
        <v>12Go Link</v>
      </c>
      <c r="E139" s="3" t="s">
        <v>227</v>
      </c>
      <c r="K139" s="5"/>
    </row>
    <row r="140">
      <c r="A140" s="3" t="s">
        <v>219</v>
      </c>
      <c r="B140" s="3" t="s">
        <v>220</v>
      </c>
      <c r="C140" s="3" t="s">
        <v>229</v>
      </c>
      <c r="D140" s="4" t="str">
        <f t="shared" si="2"/>
        <v>12Go Link</v>
      </c>
      <c r="E140" s="3" t="s">
        <v>228</v>
      </c>
      <c r="K140" s="5"/>
    </row>
    <row r="141">
      <c r="A141" s="3" t="s">
        <v>230</v>
      </c>
      <c r="B141" s="3" t="s">
        <v>220</v>
      </c>
      <c r="C141" s="3" t="s">
        <v>231</v>
      </c>
      <c r="D141" s="4" t="str">
        <f t="shared" ref="D141:D147" si="3">HYPERLINK("https://12go.asia/en/travel/Battambang-Transfer/Phnom-Penh-Transfer", "12Go Link")</f>
        <v>12Go Link</v>
      </c>
      <c r="E141" s="3" t="s">
        <v>222</v>
      </c>
      <c r="K141" s="5"/>
    </row>
    <row r="142">
      <c r="A142" s="3" t="s">
        <v>230</v>
      </c>
      <c r="B142" s="3" t="s">
        <v>220</v>
      </c>
      <c r="C142" s="3" t="s">
        <v>231</v>
      </c>
      <c r="D142" s="4" t="str">
        <f t="shared" si="3"/>
        <v>12Go Link</v>
      </c>
      <c r="E142" s="3" t="s">
        <v>223</v>
      </c>
      <c r="K142" s="5"/>
    </row>
    <row r="143">
      <c r="A143" s="3" t="s">
        <v>230</v>
      </c>
      <c r="B143" s="3" t="s">
        <v>220</v>
      </c>
      <c r="C143" s="3" t="s">
        <v>231</v>
      </c>
      <c r="D143" s="4" t="str">
        <f t="shared" si="3"/>
        <v>12Go Link</v>
      </c>
      <c r="E143" s="3" t="s">
        <v>224</v>
      </c>
      <c r="K143" s="5"/>
    </row>
    <row r="144">
      <c r="A144" s="3" t="s">
        <v>230</v>
      </c>
      <c r="B144" s="3" t="s">
        <v>220</v>
      </c>
      <c r="C144" s="3" t="s">
        <v>231</v>
      </c>
      <c r="D144" s="4" t="str">
        <f t="shared" si="3"/>
        <v>12Go Link</v>
      </c>
      <c r="E144" s="3" t="s">
        <v>225</v>
      </c>
      <c r="K144" s="5"/>
    </row>
    <row r="145">
      <c r="A145" s="3" t="s">
        <v>230</v>
      </c>
      <c r="B145" s="3" t="s">
        <v>220</v>
      </c>
      <c r="C145" s="3" t="s">
        <v>231</v>
      </c>
      <c r="D145" s="4" t="str">
        <f t="shared" si="3"/>
        <v>12Go Link</v>
      </c>
      <c r="E145" s="3" t="s">
        <v>226</v>
      </c>
      <c r="K145" s="5"/>
    </row>
    <row r="146">
      <c r="A146" s="3" t="s">
        <v>230</v>
      </c>
      <c r="B146" s="3" t="s">
        <v>220</v>
      </c>
      <c r="C146" s="3" t="s">
        <v>231</v>
      </c>
      <c r="D146" s="4" t="str">
        <f t="shared" si="3"/>
        <v>12Go Link</v>
      </c>
      <c r="E146" s="3" t="s">
        <v>227</v>
      </c>
      <c r="K146" s="5"/>
    </row>
    <row r="147">
      <c r="A147" s="3" t="s">
        <v>230</v>
      </c>
      <c r="B147" s="3" t="s">
        <v>220</v>
      </c>
      <c r="C147" s="3" t="s">
        <v>231</v>
      </c>
      <c r="D147" s="4" t="str">
        <f t="shared" si="3"/>
        <v>12Go Link</v>
      </c>
      <c r="E147" s="3" t="s">
        <v>228</v>
      </c>
      <c r="K147" s="5"/>
    </row>
    <row r="148">
      <c r="A148" s="3" t="s">
        <v>232</v>
      </c>
      <c r="B148" s="3" t="s">
        <v>220</v>
      </c>
      <c r="C148" s="3" t="s">
        <v>233</v>
      </c>
      <c r="D148" s="4" t="str">
        <f t="shared" ref="D148:D154" si="4">HYPERLINK("https://12go.asia/en/travel/Bokor-Mountain/Phnom-Penh-Transfer", "12Go Link")</f>
        <v>12Go Link</v>
      </c>
      <c r="E148" s="3" t="s">
        <v>222</v>
      </c>
      <c r="K148" s="5"/>
    </row>
    <row r="149">
      <c r="A149" s="3" t="s">
        <v>232</v>
      </c>
      <c r="B149" s="3" t="s">
        <v>220</v>
      </c>
      <c r="C149" s="3" t="s">
        <v>233</v>
      </c>
      <c r="D149" s="4" t="str">
        <f t="shared" si="4"/>
        <v>12Go Link</v>
      </c>
      <c r="E149" s="3" t="s">
        <v>223</v>
      </c>
      <c r="K149" s="5"/>
    </row>
    <row r="150">
      <c r="A150" s="3" t="s">
        <v>232</v>
      </c>
      <c r="B150" s="3" t="s">
        <v>220</v>
      </c>
      <c r="C150" s="3" t="s">
        <v>233</v>
      </c>
      <c r="D150" s="4" t="str">
        <f t="shared" si="4"/>
        <v>12Go Link</v>
      </c>
      <c r="E150" s="3" t="s">
        <v>224</v>
      </c>
      <c r="K150" s="5"/>
    </row>
    <row r="151">
      <c r="A151" s="3" t="s">
        <v>232</v>
      </c>
      <c r="B151" s="3" t="s">
        <v>220</v>
      </c>
      <c r="C151" s="3" t="s">
        <v>233</v>
      </c>
      <c r="D151" s="4" t="str">
        <f t="shared" si="4"/>
        <v>12Go Link</v>
      </c>
      <c r="E151" s="3" t="s">
        <v>225</v>
      </c>
      <c r="K151" s="5"/>
    </row>
    <row r="152">
      <c r="A152" s="3" t="s">
        <v>232</v>
      </c>
      <c r="B152" s="3" t="s">
        <v>220</v>
      </c>
      <c r="C152" s="3" t="s">
        <v>233</v>
      </c>
      <c r="D152" s="4" t="str">
        <f t="shared" si="4"/>
        <v>12Go Link</v>
      </c>
      <c r="E152" s="3" t="s">
        <v>226</v>
      </c>
      <c r="K152" s="5"/>
    </row>
    <row r="153">
      <c r="A153" s="3" t="s">
        <v>232</v>
      </c>
      <c r="B153" s="3" t="s">
        <v>220</v>
      </c>
      <c r="C153" s="3" t="s">
        <v>233</v>
      </c>
      <c r="D153" s="4" t="str">
        <f t="shared" si="4"/>
        <v>12Go Link</v>
      </c>
      <c r="E153" s="3" t="s">
        <v>227</v>
      </c>
      <c r="K153" s="5"/>
    </row>
    <row r="154">
      <c r="A154" s="3" t="s">
        <v>232</v>
      </c>
      <c r="B154" s="3" t="s">
        <v>220</v>
      </c>
      <c r="C154" s="3" t="s">
        <v>233</v>
      </c>
      <c r="D154" s="4" t="str">
        <f t="shared" si="4"/>
        <v>12Go Link</v>
      </c>
      <c r="E154" s="3" t="s">
        <v>228</v>
      </c>
      <c r="K154" s="5"/>
    </row>
    <row r="155">
      <c r="A155" s="3" t="s">
        <v>234</v>
      </c>
      <c r="B155" s="3" t="s">
        <v>220</v>
      </c>
      <c r="C155" s="3" t="s">
        <v>235</v>
      </c>
      <c r="D155" s="4" t="str">
        <f t="shared" ref="D155:D161" si="5">HYPERLINK("https://12go.asia/en/travel/Kampong-Cham/Phnom-Penh-Transfer", "12Go Link")</f>
        <v>12Go Link</v>
      </c>
      <c r="E155" s="3" t="s">
        <v>222</v>
      </c>
      <c r="K155" s="5"/>
    </row>
    <row r="156">
      <c r="A156" s="3" t="s">
        <v>234</v>
      </c>
      <c r="B156" s="3" t="s">
        <v>220</v>
      </c>
      <c r="C156" s="3" t="s">
        <v>235</v>
      </c>
      <c r="D156" s="4" t="str">
        <f t="shared" si="5"/>
        <v>12Go Link</v>
      </c>
      <c r="E156" s="3" t="s">
        <v>223</v>
      </c>
      <c r="K156" s="5"/>
    </row>
    <row r="157">
      <c r="A157" s="3" t="s">
        <v>234</v>
      </c>
      <c r="B157" s="3" t="s">
        <v>220</v>
      </c>
      <c r="C157" s="3" t="s">
        <v>235</v>
      </c>
      <c r="D157" s="4" t="str">
        <f t="shared" si="5"/>
        <v>12Go Link</v>
      </c>
      <c r="E157" s="3" t="s">
        <v>224</v>
      </c>
      <c r="K157" s="5"/>
    </row>
    <row r="158">
      <c r="A158" s="3" t="s">
        <v>234</v>
      </c>
      <c r="B158" s="3" t="s">
        <v>220</v>
      </c>
      <c r="C158" s="3" t="s">
        <v>235</v>
      </c>
      <c r="D158" s="4" t="str">
        <f t="shared" si="5"/>
        <v>12Go Link</v>
      </c>
      <c r="E158" s="3" t="s">
        <v>225</v>
      </c>
      <c r="K158" s="5"/>
    </row>
    <row r="159">
      <c r="A159" s="3" t="s">
        <v>234</v>
      </c>
      <c r="B159" s="3" t="s">
        <v>220</v>
      </c>
      <c r="C159" s="3" t="s">
        <v>235</v>
      </c>
      <c r="D159" s="4" t="str">
        <f t="shared" si="5"/>
        <v>12Go Link</v>
      </c>
      <c r="E159" s="3" t="s">
        <v>226</v>
      </c>
      <c r="K159" s="5"/>
    </row>
    <row r="160">
      <c r="A160" s="3" t="s">
        <v>234</v>
      </c>
      <c r="B160" s="3" t="s">
        <v>220</v>
      </c>
      <c r="C160" s="3" t="s">
        <v>235</v>
      </c>
      <c r="D160" s="4" t="str">
        <f t="shared" si="5"/>
        <v>12Go Link</v>
      </c>
      <c r="E160" s="3" t="s">
        <v>227</v>
      </c>
      <c r="K160" s="5"/>
    </row>
    <row r="161">
      <c r="A161" s="3" t="s">
        <v>234</v>
      </c>
      <c r="B161" s="3" t="s">
        <v>220</v>
      </c>
      <c r="C161" s="3" t="s">
        <v>235</v>
      </c>
      <c r="D161" s="4" t="str">
        <f t="shared" si="5"/>
        <v>12Go Link</v>
      </c>
      <c r="E161" s="3" t="s">
        <v>228</v>
      </c>
      <c r="K161" s="5"/>
    </row>
    <row r="162">
      <c r="A162" s="3" t="s">
        <v>236</v>
      </c>
      <c r="B162" s="3" t="s">
        <v>220</v>
      </c>
      <c r="C162" s="3" t="s">
        <v>237</v>
      </c>
      <c r="D162" s="4" t="str">
        <f t="shared" ref="D162:D168" si="6">HYPERLINK("https://12go.asia/en/travel/Kampong-Chhnang/Phnom-Penh-Transfer", "12Go Link")</f>
        <v>12Go Link</v>
      </c>
      <c r="E162" s="3" t="s">
        <v>222</v>
      </c>
      <c r="K162" s="5"/>
    </row>
    <row r="163">
      <c r="A163" s="3" t="s">
        <v>236</v>
      </c>
      <c r="B163" s="3" t="s">
        <v>220</v>
      </c>
      <c r="C163" s="3" t="s">
        <v>237</v>
      </c>
      <c r="D163" s="4" t="str">
        <f t="shared" si="6"/>
        <v>12Go Link</v>
      </c>
      <c r="E163" s="3" t="s">
        <v>223</v>
      </c>
      <c r="K163" s="5"/>
    </row>
    <row r="164">
      <c r="A164" s="3" t="s">
        <v>236</v>
      </c>
      <c r="B164" s="3" t="s">
        <v>220</v>
      </c>
      <c r="C164" s="3" t="s">
        <v>237</v>
      </c>
      <c r="D164" s="4" t="str">
        <f t="shared" si="6"/>
        <v>12Go Link</v>
      </c>
      <c r="E164" s="3" t="s">
        <v>224</v>
      </c>
      <c r="K164" s="5"/>
    </row>
    <row r="165">
      <c r="A165" s="3" t="s">
        <v>236</v>
      </c>
      <c r="B165" s="3" t="s">
        <v>220</v>
      </c>
      <c r="C165" s="3" t="s">
        <v>237</v>
      </c>
      <c r="D165" s="4" t="str">
        <f t="shared" si="6"/>
        <v>12Go Link</v>
      </c>
      <c r="E165" s="3" t="s">
        <v>225</v>
      </c>
      <c r="K165" s="5"/>
    </row>
    <row r="166">
      <c r="A166" s="3" t="s">
        <v>236</v>
      </c>
      <c r="B166" s="3" t="s">
        <v>220</v>
      </c>
      <c r="C166" s="3" t="s">
        <v>237</v>
      </c>
      <c r="D166" s="4" t="str">
        <f t="shared" si="6"/>
        <v>12Go Link</v>
      </c>
      <c r="E166" s="3" t="s">
        <v>226</v>
      </c>
      <c r="K166" s="5"/>
    </row>
    <row r="167">
      <c r="A167" s="3" t="s">
        <v>236</v>
      </c>
      <c r="B167" s="3" t="s">
        <v>220</v>
      </c>
      <c r="C167" s="3" t="s">
        <v>237</v>
      </c>
      <c r="D167" s="4" t="str">
        <f t="shared" si="6"/>
        <v>12Go Link</v>
      </c>
      <c r="E167" s="3" t="s">
        <v>227</v>
      </c>
      <c r="K167" s="5"/>
    </row>
    <row r="168">
      <c r="A168" s="3" t="s">
        <v>236</v>
      </c>
      <c r="B168" s="3" t="s">
        <v>220</v>
      </c>
      <c r="C168" s="3" t="s">
        <v>237</v>
      </c>
      <c r="D168" s="4" t="str">
        <f t="shared" si="6"/>
        <v>12Go Link</v>
      </c>
      <c r="E168" s="3" t="s">
        <v>228</v>
      </c>
      <c r="K168" s="5"/>
    </row>
    <row r="169">
      <c r="A169" s="3" t="s">
        <v>236</v>
      </c>
      <c r="B169" s="3" t="s">
        <v>238</v>
      </c>
      <c r="C169" s="3" t="s">
        <v>239</v>
      </c>
      <c r="D169" s="4" t="str">
        <f>HYPERLINK("https://12go.asia/en/travel/kampong-chhnang/bangkok", "12Go Link")</f>
        <v>12Go Link</v>
      </c>
      <c r="E169" s="3" t="s">
        <v>8</v>
      </c>
      <c r="K169" s="5"/>
    </row>
    <row r="170">
      <c r="A170" s="3" t="s">
        <v>240</v>
      </c>
      <c r="B170" s="3" t="s">
        <v>220</v>
      </c>
      <c r="C170" s="3" t="s">
        <v>241</v>
      </c>
      <c r="D170" s="4" t="str">
        <f t="shared" ref="D170:D176" si="7">HYPERLINK("https://12go.asia/en/travel/Kampong-Speu/Phnom-Penh-Transfer", "12Go Link")</f>
        <v>12Go Link</v>
      </c>
      <c r="E170" s="3" t="s">
        <v>222</v>
      </c>
      <c r="K170" s="5"/>
    </row>
    <row r="171">
      <c r="A171" s="3" t="s">
        <v>240</v>
      </c>
      <c r="B171" s="3" t="s">
        <v>220</v>
      </c>
      <c r="C171" s="3" t="s">
        <v>241</v>
      </c>
      <c r="D171" s="4" t="str">
        <f t="shared" si="7"/>
        <v>12Go Link</v>
      </c>
      <c r="E171" s="3" t="s">
        <v>223</v>
      </c>
      <c r="K171" s="5"/>
    </row>
    <row r="172">
      <c r="A172" s="3" t="s">
        <v>240</v>
      </c>
      <c r="B172" s="3" t="s">
        <v>220</v>
      </c>
      <c r="C172" s="3" t="s">
        <v>241</v>
      </c>
      <c r="D172" s="4" t="str">
        <f t="shared" si="7"/>
        <v>12Go Link</v>
      </c>
      <c r="E172" s="3" t="s">
        <v>224</v>
      </c>
      <c r="K172" s="5"/>
    </row>
    <row r="173">
      <c r="A173" s="3" t="s">
        <v>240</v>
      </c>
      <c r="B173" s="3" t="s">
        <v>220</v>
      </c>
      <c r="C173" s="3" t="s">
        <v>241</v>
      </c>
      <c r="D173" s="4" t="str">
        <f t="shared" si="7"/>
        <v>12Go Link</v>
      </c>
      <c r="E173" s="3" t="s">
        <v>225</v>
      </c>
      <c r="K173" s="5"/>
    </row>
    <row r="174">
      <c r="A174" s="3" t="s">
        <v>240</v>
      </c>
      <c r="B174" s="3" t="s">
        <v>220</v>
      </c>
      <c r="C174" s="3" t="s">
        <v>241</v>
      </c>
      <c r="D174" s="4" t="str">
        <f t="shared" si="7"/>
        <v>12Go Link</v>
      </c>
      <c r="E174" s="3" t="s">
        <v>226</v>
      </c>
      <c r="K174" s="5"/>
    </row>
    <row r="175">
      <c r="A175" s="3" t="s">
        <v>240</v>
      </c>
      <c r="B175" s="3" t="s">
        <v>220</v>
      </c>
      <c r="C175" s="3" t="s">
        <v>241</v>
      </c>
      <c r="D175" s="4" t="str">
        <f t="shared" si="7"/>
        <v>12Go Link</v>
      </c>
      <c r="E175" s="3" t="s">
        <v>227</v>
      </c>
      <c r="K175" s="5"/>
    </row>
    <row r="176">
      <c r="A176" s="3" t="s">
        <v>240</v>
      </c>
      <c r="B176" s="3" t="s">
        <v>220</v>
      </c>
      <c r="C176" s="3" t="s">
        <v>241</v>
      </c>
      <c r="D176" s="4" t="str">
        <f t="shared" si="7"/>
        <v>12Go Link</v>
      </c>
      <c r="E176" s="3" t="s">
        <v>228</v>
      </c>
      <c r="K176" s="5"/>
    </row>
    <row r="177">
      <c r="A177" s="3" t="s">
        <v>240</v>
      </c>
      <c r="B177" s="3" t="s">
        <v>220</v>
      </c>
      <c r="C177" s="3" t="s">
        <v>242</v>
      </c>
      <c r="D177" s="4" t="str">
        <f t="shared" ref="D177:D183" si="8">HYPERLINK("https://12go.asia/en/travel/Kirirom-National-Park/Phnom-Penh-Transfer", "12Go Link")</f>
        <v>12Go Link</v>
      </c>
      <c r="E177" s="3" t="s">
        <v>222</v>
      </c>
      <c r="K177" s="5"/>
    </row>
    <row r="178">
      <c r="A178" s="3" t="s">
        <v>240</v>
      </c>
      <c r="B178" s="3" t="s">
        <v>220</v>
      </c>
      <c r="C178" s="3" t="s">
        <v>242</v>
      </c>
      <c r="D178" s="4" t="str">
        <f t="shared" si="8"/>
        <v>12Go Link</v>
      </c>
      <c r="E178" s="3" t="s">
        <v>223</v>
      </c>
      <c r="K178" s="5"/>
    </row>
    <row r="179">
      <c r="A179" s="3" t="s">
        <v>240</v>
      </c>
      <c r="B179" s="3" t="s">
        <v>220</v>
      </c>
      <c r="C179" s="3" t="s">
        <v>242</v>
      </c>
      <c r="D179" s="4" t="str">
        <f t="shared" si="8"/>
        <v>12Go Link</v>
      </c>
      <c r="E179" s="3" t="s">
        <v>224</v>
      </c>
      <c r="K179" s="5"/>
    </row>
    <row r="180">
      <c r="A180" s="3" t="s">
        <v>240</v>
      </c>
      <c r="B180" s="3" t="s">
        <v>220</v>
      </c>
      <c r="C180" s="3" t="s">
        <v>242</v>
      </c>
      <c r="D180" s="4" t="str">
        <f t="shared" si="8"/>
        <v>12Go Link</v>
      </c>
      <c r="E180" s="3" t="s">
        <v>225</v>
      </c>
      <c r="K180" s="5"/>
    </row>
    <row r="181">
      <c r="A181" s="3" t="s">
        <v>240</v>
      </c>
      <c r="B181" s="3" t="s">
        <v>220</v>
      </c>
      <c r="C181" s="3" t="s">
        <v>242</v>
      </c>
      <c r="D181" s="4" t="str">
        <f t="shared" si="8"/>
        <v>12Go Link</v>
      </c>
      <c r="E181" s="3" t="s">
        <v>226</v>
      </c>
      <c r="K181" s="5"/>
    </row>
    <row r="182">
      <c r="A182" s="3" t="s">
        <v>240</v>
      </c>
      <c r="B182" s="3" t="s">
        <v>220</v>
      </c>
      <c r="C182" s="3" t="s">
        <v>242</v>
      </c>
      <c r="D182" s="4" t="str">
        <f t="shared" si="8"/>
        <v>12Go Link</v>
      </c>
      <c r="E182" s="3" t="s">
        <v>227</v>
      </c>
      <c r="K182" s="5"/>
    </row>
    <row r="183">
      <c r="A183" s="3" t="s">
        <v>240</v>
      </c>
      <c r="B183" s="3" t="s">
        <v>220</v>
      </c>
      <c r="C183" s="3" t="s">
        <v>242</v>
      </c>
      <c r="D183" s="4" t="str">
        <f t="shared" si="8"/>
        <v>12Go Link</v>
      </c>
      <c r="E183" s="3" t="s">
        <v>228</v>
      </c>
      <c r="K183" s="5"/>
    </row>
    <row r="184">
      <c r="A184" s="3" t="s">
        <v>243</v>
      </c>
      <c r="B184" s="3" t="s">
        <v>220</v>
      </c>
      <c r="C184" s="3" t="s">
        <v>244</v>
      </c>
      <c r="D184" s="4" t="str">
        <f t="shared" ref="D184:D190" si="9">HYPERLINK("https://12go.asia/en/travel/Kampong-Thom/Phnom-Penh-Transfer", "12Go Link")</f>
        <v>12Go Link</v>
      </c>
      <c r="E184" s="3" t="s">
        <v>222</v>
      </c>
      <c r="K184" s="5"/>
    </row>
    <row r="185">
      <c r="A185" s="3" t="s">
        <v>243</v>
      </c>
      <c r="B185" s="3" t="s">
        <v>220</v>
      </c>
      <c r="C185" s="3" t="s">
        <v>244</v>
      </c>
      <c r="D185" s="4" t="str">
        <f t="shared" si="9"/>
        <v>12Go Link</v>
      </c>
      <c r="E185" s="3" t="s">
        <v>223</v>
      </c>
      <c r="K185" s="5"/>
    </row>
    <row r="186">
      <c r="A186" s="3" t="s">
        <v>243</v>
      </c>
      <c r="B186" s="3" t="s">
        <v>220</v>
      </c>
      <c r="C186" s="3" t="s">
        <v>244</v>
      </c>
      <c r="D186" s="4" t="str">
        <f t="shared" si="9"/>
        <v>12Go Link</v>
      </c>
      <c r="E186" s="3" t="s">
        <v>224</v>
      </c>
      <c r="K186" s="5"/>
    </row>
    <row r="187">
      <c r="A187" s="3" t="s">
        <v>243</v>
      </c>
      <c r="B187" s="3" t="s">
        <v>220</v>
      </c>
      <c r="C187" s="3" t="s">
        <v>244</v>
      </c>
      <c r="D187" s="4" t="str">
        <f t="shared" si="9"/>
        <v>12Go Link</v>
      </c>
      <c r="E187" s="3" t="s">
        <v>225</v>
      </c>
      <c r="K187" s="5"/>
    </row>
    <row r="188">
      <c r="A188" s="3" t="s">
        <v>243</v>
      </c>
      <c r="B188" s="3" t="s">
        <v>220</v>
      </c>
      <c r="C188" s="3" t="s">
        <v>244</v>
      </c>
      <c r="D188" s="4" t="str">
        <f t="shared" si="9"/>
        <v>12Go Link</v>
      </c>
      <c r="E188" s="3" t="s">
        <v>226</v>
      </c>
      <c r="K188" s="5"/>
    </row>
    <row r="189">
      <c r="A189" s="3" t="s">
        <v>243</v>
      </c>
      <c r="B189" s="3" t="s">
        <v>220</v>
      </c>
      <c r="C189" s="3" t="s">
        <v>244</v>
      </c>
      <c r="D189" s="4" t="str">
        <f t="shared" si="9"/>
        <v>12Go Link</v>
      </c>
      <c r="E189" s="3" t="s">
        <v>227</v>
      </c>
      <c r="K189" s="5"/>
    </row>
    <row r="190">
      <c r="A190" s="3" t="s">
        <v>243</v>
      </c>
      <c r="B190" s="3" t="s">
        <v>220</v>
      </c>
      <c r="C190" s="3" t="s">
        <v>244</v>
      </c>
      <c r="D190" s="4" t="str">
        <f t="shared" si="9"/>
        <v>12Go Link</v>
      </c>
      <c r="E190" s="3" t="s">
        <v>228</v>
      </c>
      <c r="K190" s="5"/>
    </row>
    <row r="191">
      <c r="A191" s="3" t="s">
        <v>245</v>
      </c>
      <c r="B191" s="3" t="s">
        <v>220</v>
      </c>
      <c r="C191" s="3" t="s">
        <v>246</v>
      </c>
      <c r="D191" s="4" t="str">
        <f t="shared" ref="D191:D197" si="10">HYPERLINK("https://12go.asia/en/travel/Kampot/Phnom-Penh-Transfer", "12Go Link")</f>
        <v>12Go Link</v>
      </c>
      <c r="E191" s="3" t="s">
        <v>222</v>
      </c>
      <c r="K191" s="5"/>
    </row>
    <row r="192">
      <c r="A192" s="3" t="s">
        <v>245</v>
      </c>
      <c r="B192" s="3" t="s">
        <v>220</v>
      </c>
      <c r="C192" s="3" t="s">
        <v>246</v>
      </c>
      <c r="D192" s="4" t="str">
        <f t="shared" si="10"/>
        <v>12Go Link</v>
      </c>
      <c r="E192" s="3" t="s">
        <v>223</v>
      </c>
      <c r="K192" s="5"/>
    </row>
    <row r="193">
      <c r="A193" s="3" t="s">
        <v>245</v>
      </c>
      <c r="B193" s="3" t="s">
        <v>220</v>
      </c>
      <c r="C193" s="3" t="s">
        <v>246</v>
      </c>
      <c r="D193" s="4" t="str">
        <f t="shared" si="10"/>
        <v>12Go Link</v>
      </c>
      <c r="E193" s="3" t="s">
        <v>224</v>
      </c>
      <c r="K193" s="5"/>
    </row>
    <row r="194">
      <c r="A194" s="3" t="s">
        <v>245</v>
      </c>
      <c r="B194" s="3" t="s">
        <v>220</v>
      </c>
      <c r="C194" s="3" t="s">
        <v>246</v>
      </c>
      <c r="D194" s="4" t="str">
        <f t="shared" si="10"/>
        <v>12Go Link</v>
      </c>
      <c r="E194" s="3" t="s">
        <v>225</v>
      </c>
      <c r="K194" s="5"/>
    </row>
    <row r="195">
      <c r="A195" s="3" t="s">
        <v>245</v>
      </c>
      <c r="B195" s="3" t="s">
        <v>220</v>
      </c>
      <c r="C195" s="3" t="s">
        <v>246</v>
      </c>
      <c r="D195" s="4" t="str">
        <f t="shared" si="10"/>
        <v>12Go Link</v>
      </c>
      <c r="E195" s="3" t="s">
        <v>226</v>
      </c>
      <c r="K195" s="5"/>
    </row>
    <row r="196">
      <c r="A196" s="3" t="s">
        <v>245</v>
      </c>
      <c r="B196" s="3" t="s">
        <v>220</v>
      </c>
      <c r="C196" s="3" t="s">
        <v>246</v>
      </c>
      <c r="D196" s="4" t="str">
        <f t="shared" si="10"/>
        <v>12Go Link</v>
      </c>
      <c r="E196" s="3" t="s">
        <v>227</v>
      </c>
      <c r="K196" s="5"/>
    </row>
    <row r="197">
      <c r="A197" s="3" t="s">
        <v>245</v>
      </c>
      <c r="B197" s="3" t="s">
        <v>220</v>
      </c>
      <c r="C197" s="3" t="s">
        <v>246</v>
      </c>
      <c r="D197" s="4" t="str">
        <f t="shared" si="10"/>
        <v>12Go Link</v>
      </c>
      <c r="E197" s="3" t="s">
        <v>228</v>
      </c>
      <c r="K197" s="5"/>
    </row>
    <row r="198">
      <c r="A198" s="3" t="s">
        <v>247</v>
      </c>
      <c r="B198" s="3" t="s">
        <v>220</v>
      </c>
      <c r="C198" s="3" t="s">
        <v>248</v>
      </c>
      <c r="D198" s="4" t="str">
        <f t="shared" ref="D198:D204" si="11">HYPERLINK("https://12go.asia/en/travel/Kandal/Phnom-Penh-Transfer", "12Go Link")</f>
        <v>12Go Link</v>
      </c>
      <c r="E198" s="3" t="s">
        <v>222</v>
      </c>
      <c r="K198" s="5"/>
    </row>
    <row r="199">
      <c r="A199" s="3" t="s">
        <v>247</v>
      </c>
      <c r="B199" s="3" t="s">
        <v>220</v>
      </c>
      <c r="C199" s="3" t="s">
        <v>248</v>
      </c>
      <c r="D199" s="4" t="str">
        <f t="shared" si="11"/>
        <v>12Go Link</v>
      </c>
      <c r="E199" s="3" t="s">
        <v>223</v>
      </c>
      <c r="K199" s="5"/>
    </row>
    <row r="200">
      <c r="A200" s="3" t="s">
        <v>247</v>
      </c>
      <c r="B200" s="3" t="s">
        <v>220</v>
      </c>
      <c r="C200" s="3" t="s">
        <v>248</v>
      </c>
      <c r="D200" s="4" t="str">
        <f t="shared" si="11"/>
        <v>12Go Link</v>
      </c>
      <c r="E200" s="3" t="s">
        <v>224</v>
      </c>
      <c r="K200" s="5"/>
    </row>
    <row r="201">
      <c r="A201" s="3" t="s">
        <v>247</v>
      </c>
      <c r="B201" s="3" t="s">
        <v>220</v>
      </c>
      <c r="C201" s="3" t="s">
        <v>248</v>
      </c>
      <c r="D201" s="4" t="str">
        <f t="shared" si="11"/>
        <v>12Go Link</v>
      </c>
      <c r="E201" s="3" t="s">
        <v>225</v>
      </c>
      <c r="K201" s="5"/>
    </row>
    <row r="202">
      <c r="A202" s="3" t="s">
        <v>247</v>
      </c>
      <c r="B202" s="3" t="s">
        <v>220</v>
      </c>
      <c r="C202" s="3" t="s">
        <v>248</v>
      </c>
      <c r="D202" s="4" t="str">
        <f t="shared" si="11"/>
        <v>12Go Link</v>
      </c>
      <c r="E202" s="3" t="s">
        <v>226</v>
      </c>
      <c r="K202" s="5"/>
    </row>
    <row r="203">
      <c r="A203" s="3" t="s">
        <v>247</v>
      </c>
      <c r="B203" s="3" t="s">
        <v>220</v>
      </c>
      <c r="C203" s="3" t="s">
        <v>248</v>
      </c>
      <c r="D203" s="4" t="str">
        <f t="shared" si="11"/>
        <v>12Go Link</v>
      </c>
      <c r="E203" s="3" t="s">
        <v>227</v>
      </c>
      <c r="K203" s="5"/>
    </row>
    <row r="204">
      <c r="A204" s="3" t="s">
        <v>247</v>
      </c>
      <c r="B204" s="3" t="s">
        <v>220</v>
      </c>
      <c r="C204" s="3" t="s">
        <v>248</v>
      </c>
      <c r="D204" s="4" t="str">
        <f t="shared" si="11"/>
        <v>12Go Link</v>
      </c>
      <c r="E204" s="3" t="s">
        <v>228</v>
      </c>
      <c r="K204" s="5"/>
    </row>
    <row r="205">
      <c r="A205" s="3" t="s">
        <v>247</v>
      </c>
      <c r="B205" s="3" t="s">
        <v>220</v>
      </c>
      <c r="C205" s="3" t="s">
        <v>249</v>
      </c>
      <c r="D205" s="4" t="str">
        <f t="shared" ref="D205:D211" si="12">HYPERLINK("https://12go.asia/en/travel/Tonle-Bati/Phnom-Penh-Transfer", "12Go Link")</f>
        <v>12Go Link</v>
      </c>
      <c r="E205" s="3" t="s">
        <v>222</v>
      </c>
      <c r="K205" s="5"/>
    </row>
    <row r="206">
      <c r="A206" s="3" t="s">
        <v>247</v>
      </c>
      <c r="B206" s="3" t="s">
        <v>220</v>
      </c>
      <c r="C206" s="3" t="s">
        <v>249</v>
      </c>
      <c r="D206" s="4" t="str">
        <f t="shared" si="12"/>
        <v>12Go Link</v>
      </c>
      <c r="E206" s="3" t="s">
        <v>223</v>
      </c>
      <c r="K206" s="5"/>
    </row>
    <row r="207">
      <c r="A207" s="3" t="s">
        <v>247</v>
      </c>
      <c r="B207" s="3" t="s">
        <v>220</v>
      </c>
      <c r="C207" s="3" t="s">
        <v>249</v>
      </c>
      <c r="D207" s="4" t="str">
        <f t="shared" si="12"/>
        <v>12Go Link</v>
      </c>
      <c r="E207" s="3" t="s">
        <v>224</v>
      </c>
      <c r="K207" s="5"/>
    </row>
    <row r="208">
      <c r="A208" s="3" t="s">
        <v>247</v>
      </c>
      <c r="B208" s="3" t="s">
        <v>220</v>
      </c>
      <c r="C208" s="3" t="s">
        <v>249</v>
      </c>
      <c r="D208" s="4" t="str">
        <f t="shared" si="12"/>
        <v>12Go Link</v>
      </c>
      <c r="E208" s="3" t="s">
        <v>225</v>
      </c>
      <c r="K208" s="5"/>
    </row>
    <row r="209">
      <c r="A209" s="3" t="s">
        <v>247</v>
      </c>
      <c r="B209" s="3" t="s">
        <v>220</v>
      </c>
      <c r="C209" s="3" t="s">
        <v>249</v>
      </c>
      <c r="D209" s="4" t="str">
        <f t="shared" si="12"/>
        <v>12Go Link</v>
      </c>
      <c r="E209" s="3" t="s">
        <v>226</v>
      </c>
      <c r="K209" s="5"/>
    </row>
    <row r="210">
      <c r="A210" s="3" t="s">
        <v>247</v>
      </c>
      <c r="B210" s="3" t="s">
        <v>220</v>
      </c>
      <c r="C210" s="3" t="s">
        <v>249</v>
      </c>
      <c r="D210" s="4" t="str">
        <f t="shared" si="12"/>
        <v>12Go Link</v>
      </c>
      <c r="E210" s="3" t="s">
        <v>227</v>
      </c>
      <c r="K210" s="5"/>
    </row>
    <row r="211">
      <c r="A211" s="3" t="s">
        <v>247</v>
      </c>
      <c r="B211" s="3" t="s">
        <v>220</v>
      </c>
      <c r="C211" s="3" t="s">
        <v>249</v>
      </c>
      <c r="D211" s="4" t="str">
        <f t="shared" si="12"/>
        <v>12Go Link</v>
      </c>
      <c r="E211" s="3" t="s">
        <v>228</v>
      </c>
      <c r="K211" s="5"/>
    </row>
    <row r="212">
      <c r="A212" s="3" t="s">
        <v>250</v>
      </c>
      <c r="B212" s="3" t="s">
        <v>220</v>
      </c>
      <c r="C212" s="3" t="s">
        <v>251</v>
      </c>
      <c r="D212" s="4" t="str">
        <f t="shared" ref="D212:D218" si="13">HYPERLINK("https://12go.asia/en/travel/Kep/Phnom-Penh-Transfer", "12Go Link")</f>
        <v>12Go Link</v>
      </c>
      <c r="E212" s="3" t="s">
        <v>222</v>
      </c>
      <c r="K212" s="5"/>
    </row>
    <row r="213">
      <c r="A213" s="3" t="s">
        <v>250</v>
      </c>
      <c r="B213" s="3" t="s">
        <v>220</v>
      </c>
      <c r="C213" s="3" t="s">
        <v>251</v>
      </c>
      <c r="D213" s="4" t="str">
        <f t="shared" si="13"/>
        <v>12Go Link</v>
      </c>
      <c r="E213" s="3" t="s">
        <v>223</v>
      </c>
      <c r="K213" s="5"/>
    </row>
    <row r="214">
      <c r="A214" s="3" t="s">
        <v>250</v>
      </c>
      <c r="B214" s="3" t="s">
        <v>220</v>
      </c>
      <c r="C214" s="3" t="s">
        <v>251</v>
      </c>
      <c r="D214" s="4" t="str">
        <f t="shared" si="13"/>
        <v>12Go Link</v>
      </c>
      <c r="E214" s="3" t="s">
        <v>224</v>
      </c>
      <c r="K214" s="5"/>
    </row>
    <row r="215">
      <c r="A215" s="3" t="s">
        <v>250</v>
      </c>
      <c r="B215" s="3" t="s">
        <v>220</v>
      </c>
      <c r="C215" s="3" t="s">
        <v>251</v>
      </c>
      <c r="D215" s="4" t="str">
        <f t="shared" si="13"/>
        <v>12Go Link</v>
      </c>
      <c r="E215" s="3" t="s">
        <v>225</v>
      </c>
      <c r="K215" s="5"/>
    </row>
    <row r="216">
      <c r="A216" s="3" t="s">
        <v>250</v>
      </c>
      <c r="B216" s="3" t="s">
        <v>220</v>
      </c>
      <c r="C216" s="3" t="s">
        <v>251</v>
      </c>
      <c r="D216" s="4" t="str">
        <f t="shared" si="13"/>
        <v>12Go Link</v>
      </c>
      <c r="E216" s="3" t="s">
        <v>226</v>
      </c>
      <c r="K216" s="5"/>
    </row>
    <row r="217">
      <c r="A217" s="3" t="s">
        <v>250</v>
      </c>
      <c r="B217" s="3" t="s">
        <v>220</v>
      </c>
      <c r="C217" s="3" t="s">
        <v>251</v>
      </c>
      <c r="D217" s="4" t="str">
        <f t="shared" si="13"/>
        <v>12Go Link</v>
      </c>
      <c r="E217" s="3" t="s">
        <v>227</v>
      </c>
      <c r="K217" s="5"/>
    </row>
    <row r="218">
      <c r="A218" s="3" t="s">
        <v>250</v>
      </c>
      <c r="B218" s="3" t="s">
        <v>220</v>
      </c>
      <c r="C218" s="3" t="s">
        <v>251</v>
      </c>
      <c r="D218" s="4" t="str">
        <f t="shared" si="13"/>
        <v>12Go Link</v>
      </c>
      <c r="E218" s="3" t="s">
        <v>228</v>
      </c>
      <c r="K218" s="5"/>
    </row>
    <row r="219">
      <c r="A219" s="3" t="s">
        <v>252</v>
      </c>
      <c r="B219" s="3" t="s">
        <v>253</v>
      </c>
      <c r="C219" s="3" t="s">
        <v>254</v>
      </c>
      <c r="D219" s="4" t="str">
        <f>HYPERLINK("https://12go.asia/en/travel/kien-svay/angkor-wat", "12Go Link")</f>
        <v>12Go Link</v>
      </c>
      <c r="E219" s="3" t="s">
        <v>8</v>
      </c>
      <c r="K219" s="5"/>
    </row>
    <row r="220">
      <c r="A220" s="3" t="s">
        <v>252</v>
      </c>
      <c r="B220" s="3" t="s">
        <v>255</v>
      </c>
      <c r="C220" s="3" t="s">
        <v>256</v>
      </c>
      <c r="D220" s="4" t="str">
        <f>HYPERLINK("https://12go.asia/en/travel/kien-svay/banlung", "12Go Link")</f>
        <v>12Go Link</v>
      </c>
      <c r="E220" s="3" t="s">
        <v>8</v>
      </c>
      <c r="K220" s="5"/>
    </row>
    <row r="221">
      <c r="A221" s="3" t="s">
        <v>252</v>
      </c>
      <c r="B221" s="3" t="s">
        <v>230</v>
      </c>
      <c r="C221" s="3" t="s">
        <v>257</v>
      </c>
      <c r="D221" s="4" t="str">
        <f>HYPERLINK("https://12go.asia/en/travel/kien-svay/battambang", "12Go Link")</f>
        <v>12Go Link</v>
      </c>
      <c r="E221" s="3" t="s">
        <v>8</v>
      </c>
      <c r="K221" s="5"/>
    </row>
    <row r="222">
      <c r="A222" s="3" t="s">
        <v>252</v>
      </c>
      <c r="B222" s="3" t="s">
        <v>234</v>
      </c>
      <c r="C222" s="3" t="s">
        <v>258</v>
      </c>
      <c r="D222" s="4" t="str">
        <f>HYPERLINK("https://12go.asia/en/travel/kien-svay/kampong-cham", "12Go Link")</f>
        <v>12Go Link</v>
      </c>
      <c r="E222" s="3" t="s">
        <v>8</v>
      </c>
      <c r="K222" s="5"/>
    </row>
    <row r="223">
      <c r="A223" s="3" t="s">
        <v>252</v>
      </c>
      <c r="B223" s="3" t="s">
        <v>236</v>
      </c>
      <c r="C223" s="3" t="s">
        <v>259</v>
      </c>
      <c r="D223" s="4" t="str">
        <f>HYPERLINK("https://12go.asia/en/travel/kien-svay/kampong-chhnang", "12Go Link")</f>
        <v>12Go Link</v>
      </c>
      <c r="E223" s="3" t="s">
        <v>8</v>
      </c>
      <c r="K223" s="5"/>
    </row>
    <row r="224">
      <c r="A224" s="3" t="s">
        <v>252</v>
      </c>
      <c r="B224" s="3" t="s">
        <v>243</v>
      </c>
      <c r="C224" s="3" t="s">
        <v>260</v>
      </c>
      <c r="D224" s="4" t="str">
        <f>HYPERLINK("https://12go.asia/en/travel/kien-svay/kampong-thom", "12Go Link")</f>
        <v>12Go Link</v>
      </c>
      <c r="E224" s="3" t="s">
        <v>8</v>
      </c>
      <c r="K224" s="5"/>
    </row>
    <row r="225">
      <c r="A225" s="3" t="s">
        <v>252</v>
      </c>
      <c r="B225" s="3" t="s">
        <v>245</v>
      </c>
      <c r="C225" s="3" t="s">
        <v>261</v>
      </c>
      <c r="D225" s="4" t="str">
        <f t="shared" ref="D225:D226" si="14">HYPERLINK("https://12go.asia/en/travel/kien-svay/kampot", "12Go Link")</f>
        <v>12Go Link</v>
      </c>
      <c r="E225" s="3" t="s">
        <v>8</v>
      </c>
      <c r="K225" s="5"/>
    </row>
    <row r="226">
      <c r="A226" s="3" t="s">
        <v>252</v>
      </c>
      <c r="B226" s="3" t="s">
        <v>245</v>
      </c>
      <c r="C226" s="3" t="s">
        <v>261</v>
      </c>
      <c r="D226" s="4" t="str">
        <f t="shared" si="14"/>
        <v>12Go Link</v>
      </c>
      <c r="E226" s="3" t="s">
        <v>8</v>
      </c>
      <c r="K226" s="5"/>
    </row>
    <row r="227">
      <c r="A227" s="3" t="s">
        <v>252</v>
      </c>
      <c r="B227" s="3" t="s">
        <v>262</v>
      </c>
      <c r="C227" s="3" t="s">
        <v>263</v>
      </c>
      <c r="D227" s="4" t="str">
        <f>HYPERLINK("https://12go.asia/en/travel/kien-svay/khum-kaoh-sdach", "12Go Link")</f>
        <v>12Go Link</v>
      </c>
      <c r="E227" s="3" t="s">
        <v>264</v>
      </c>
      <c r="K227" s="5"/>
    </row>
    <row r="228">
      <c r="A228" s="3" t="s">
        <v>252</v>
      </c>
      <c r="B228" s="3" t="s">
        <v>265</v>
      </c>
      <c r="C228" s="3" t="s">
        <v>266</v>
      </c>
      <c r="D228" s="4" t="str">
        <f>HYPERLINK("https://12go.asia/en/travel/kien-svay/koh-kong", "12Go Link")</f>
        <v>12Go Link</v>
      </c>
      <c r="E228" s="3" t="s">
        <v>8</v>
      </c>
      <c r="K228" s="5"/>
    </row>
    <row r="229">
      <c r="A229" s="3" t="s">
        <v>252</v>
      </c>
      <c r="B229" s="3" t="s">
        <v>267</v>
      </c>
      <c r="C229" s="3" t="s">
        <v>268</v>
      </c>
      <c r="D229" s="4" t="str">
        <f>HYPERLINK("https://12go.asia/en/travel/kien-svay/krong-poi-pet", "12Go Link")</f>
        <v>12Go Link</v>
      </c>
      <c r="E229" s="3" t="s">
        <v>8</v>
      </c>
      <c r="K229" s="5"/>
    </row>
    <row r="230">
      <c r="A230" s="3" t="s">
        <v>252</v>
      </c>
      <c r="B230" s="3" t="s">
        <v>269</v>
      </c>
      <c r="C230" s="3" t="s">
        <v>270</v>
      </c>
      <c r="D230" s="4" t="str">
        <f>HYPERLINK("https://12go.asia/en/travel/kien-svay/mondulkiri", "12Go Link")</f>
        <v>12Go Link</v>
      </c>
      <c r="E230" s="3" t="s">
        <v>8</v>
      </c>
      <c r="K230" s="5"/>
    </row>
    <row r="231">
      <c r="A231" s="3" t="s">
        <v>252</v>
      </c>
      <c r="B231" s="3" t="s">
        <v>271</v>
      </c>
      <c r="C231" s="3" t="s">
        <v>272</v>
      </c>
      <c r="D231" s="4" t="str">
        <f>HYPERLINK("https://12go.asia/en/travel/kien-svay/pailin", "12Go Link")</f>
        <v>12Go Link</v>
      </c>
      <c r="E231" s="3" t="s">
        <v>8</v>
      </c>
      <c r="K231" s="5"/>
    </row>
    <row r="232">
      <c r="A232" s="3" t="s">
        <v>252</v>
      </c>
      <c r="B232" s="3" t="s">
        <v>220</v>
      </c>
      <c r="C232" s="3" t="s">
        <v>273</v>
      </c>
      <c r="D232" s="4" t="str">
        <f t="shared" ref="D232:D238" si="15">HYPERLINK("https://12go.asia/en/travel/Kien-Svay/Phnom-Penh-Transfer", "12Go Link")</f>
        <v>12Go Link</v>
      </c>
      <c r="E232" s="3" t="s">
        <v>222</v>
      </c>
      <c r="K232" s="5"/>
    </row>
    <row r="233">
      <c r="A233" s="3" t="s">
        <v>252</v>
      </c>
      <c r="B233" s="3" t="s">
        <v>220</v>
      </c>
      <c r="C233" s="3" t="s">
        <v>273</v>
      </c>
      <c r="D233" s="4" t="str">
        <f t="shared" si="15"/>
        <v>12Go Link</v>
      </c>
      <c r="E233" s="3" t="s">
        <v>223</v>
      </c>
      <c r="K233" s="5"/>
    </row>
    <row r="234">
      <c r="A234" s="3" t="s">
        <v>252</v>
      </c>
      <c r="B234" s="3" t="s">
        <v>220</v>
      </c>
      <c r="C234" s="3" t="s">
        <v>273</v>
      </c>
      <c r="D234" s="4" t="str">
        <f t="shared" si="15"/>
        <v>12Go Link</v>
      </c>
      <c r="E234" s="3" t="s">
        <v>224</v>
      </c>
      <c r="K234" s="5"/>
    </row>
    <row r="235">
      <c r="A235" s="3" t="s">
        <v>252</v>
      </c>
      <c r="B235" s="3" t="s">
        <v>220</v>
      </c>
      <c r="C235" s="3" t="s">
        <v>273</v>
      </c>
      <c r="D235" s="4" t="str">
        <f t="shared" si="15"/>
        <v>12Go Link</v>
      </c>
      <c r="E235" s="3" t="s">
        <v>225</v>
      </c>
      <c r="K235" s="5"/>
    </row>
    <row r="236">
      <c r="A236" s="3" t="s">
        <v>252</v>
      </c>
      <c r="B236" s="3" t="s">
        <v>220</v>
      </c>
      <c r="C236" s="3" t="s">
        <v>273</v>
      </c>
      <c r="D236" s="4" t="str">
        <f t="shared" si="15"/>
        <v>12Go Link</v>
      </c>
      <c r="E236" s="3" t="s">
        <v>226</v>
      </c>
      <c r="K236" s="5"/>
    </row>
    <row r="237">
      <c r="A237" s="3" t="s">
        <v>252</v>
      </c>
      <c r="B237" s="3" t="s">
        <v>220</v>
      </c>
      <c r="C237" s="3" t="s">
        <v>273</v>
      </c>
      <c r="D237" s="4" t="str">
        <f t="shared" si="15"/>
        <v>12Go Link</v>
      </c>
      <c r="E237" s="3" t="s">
        <v>227</v>
      </c>
      <c r="K237" s="5"/>
    </row>
    <row r="238">
      <c r="A238" s="3" t="s">
        <v>252</v>
      </c>
      <c r="B238" s="3" t="s">
        <v>220</v>
      </c>
      <c r="C238" s="3" t="s">
        <v>273</v>
      </c>
      <c r="D238" s="4" t="str">
        <f t="shared" si="15"/>
        <v>12Go Link</v>
      </c>
      <c r="E238" s="3" t="s">
        <v>228</v>
      </c>
      <c r="K238" s="5"/>
    </row>
    <row r="239">
      <c r="A239" s="3" t="s">
        <v>252</v>
      </c>
      <c r="B239" s="3" t="s">
        <v>274</v>
      </c>
      <c r="C239" s="3" t="s">
        <v>275</v>
      </c>
      <c r="D239" s="4" t="str">
        <f>HYPERLINK("https://12go.asia/en/travel/kien-svay/poipet", "12Go Link")</f>
        <v>12Go Link</v>
      </c>
      <c r="E239" s="3" t="s">
        <v>8</v>
      </c>
      <c r="K239" s="5"/>
    </row>
    <row r="240">
      <c r="A240" s="3" t="s">
        <v>252</v>
      </c>
      <c r="B240" s="3" t="s">
        <v>276</v>
      </c>
      <c r="C240" s="3" t="s">
        <v>277</v>
      </c>
      <c r="D240" s="4" t="str">
        <f>HYPERLINK("https://12go.asia/en/travel/kien-svay/siem-reap", "12Go Link")</f>
        <v>12Go Link</v>
      </c>
      <c r="E240" s="3" t="s">
        <v>8</v>
      </c>
      <c r="K240" s="5"/>
    </row>
    <row r="241">
      <c r="A241" s="3" t="s">
        <v>252</v>
      </c>
      <c r="B241" s="3" t="s">
        <v>278</v>
      </c>
      <c r="C241" s="3" t="s">
        <v>279</v>
      </c>
      <c r="D241" s="4" t="str">
        <f>HYPERLINK("https://12go.asia/en/travel/kien-svay/stung-treng", "12Go Link")</f>
        <v>12Go Link</v>
      </c>
      <c r="E241" s="3" t="s">
        <v>8</v>
      </c>
      <c r="K241" s="5"/>
    </row>
    <row r="242">
      <c r="A242" s="3" t="s">
        <v>252</v>
      </c>
      <c r="B242" s="3" t="s">
        <v>280</v>
      </c>
      <c r="C242" s="3" t="s">
        <v>281</v>
      </c>
      <c r="D242" s="4" t="str">
        <f>HYPERLINK("https://12go.asia/en/travel/kien-svay/tboung-khmum", "12Go Link")</f>
        <v>12Go Link</v>
      </c>
      <c r="E242" s="3" t="s">
        <v>8</v>
      </c>
      <c r="K242" s="5"/>
    </row>
    <row r="243">
      <c r="A243" s="3" t="s">
        <v>252</v>
      </c>
      <c r="B243" s="3" t="s">
        <v>282</v>
      </c>
      <c r="C243" s="3" t="s">
        <v>283</v>
      </c>
      <c r="D243" s="4" t="str">
        <f>HYPERLINK("https://12go.asia/en/travel/kien-svay/aranyaprathet", "12Go Link")</f>
        <v>12Go Link</v>
      </c>
      <c r="E243" s="3" t="s">
        <v>8</v>
      </c>
      <c r="K243" s="5"/>
    </row>
    <row r="244">
      <c r="A244" s="3" t="s">
        <v>252</v>
      </c>
      <c r="B244" s="3" t="s">
        <v>284</v>
      </c>
      <c r="C244" s="3" t="s">
        <v>285</v>
      </c>
      <c r="D244" s="4" t="str">
        <f>HYPERLINK("https://12go.asia/en/travel/kien-svay/trat", "12Go Link")</f>
        <v>12Go Link</v>
      </c>
      <c r="E244" s="3" t="s">
        <v>8</v>
      </c>
      <c r="K244" s="5"/>
    </row>
    <row r="245">
      <c r="A245" s="3" t="s">
        <v>265</v>
      </c>
      <c r="B245" s="3" t="s">
        <v>252</v>
      </c>
      <c r="C245" s="3" t="s">
        <v>286</v>
      </c>
      <c r="D245" s="4" t="str">
        <f>HYPERLINK("https://12go.asia/en/travel/koh-kong/kien-svay", "12Go Link")</f>
        <v>12Go Link</v>
      </c>
      <c r="E245" s="3" t="s">
        <v>8</v>
      </c>
      <c r="K245" s="5"/>
    </row>
    <row r="246">
      <c r="A246" s="3" t="s">
        <v>265</v>
      </c>
      <c r="B246" s="3" t="s">
        <v>220</v>
      </c>
      <c r="C246" s="3" t="s">
        <v>287</v>
      </c>
      <c r="D246" s="4" t="str">
        <f t="shared" ref="D246:D252" si="16">HYPERLINK("https://12go.asia/en/travel/Koh-Kong/Phnom-Penh-Transfer", "12Go Link")</f>
        <v>12Go Link</v>
      </c>
      <c r="E246" s="3" t="s">
        <v>222</v>
      </c>
      <c r="K246" s="5"/>
    </row>
    <row r="247">
      <c r="A247" s="3" t="s">
        <v>265</v>
      </c>
      <c r="B247" s="3" t="s">
        <v>220</v>
      </c>
      <c r="C247" s="3" t="s">
        <v>287</v>
      </c>
      <c r="D247" s="4" t="str">
        <f t="shared" si="16"/>
        <v>12Go Link</v>
      </c>
      <c r="E247" s="3" t="s">
        <v>223</v>
      </c>
      <c r="K247" s="5"/>
    </row>
    <row r="248">
      <c r="A248" s="3" t="s">
        <v>265</v>
      </c>
      <c r="B248" s="3" t="s">
        <v>220</v>
      </c>
      <c r="C248" s="3" t="s">
        <v>287</v>
      </c>
      <c r="D248" s="4" t="str">
        <f t="shared" si="16"/>
        <v>12Go Link</v>
      </c>
      <c r="E248" s="3" t="s">
        <v>224</v>
      </c>
      <c r="K248" s="5"/>
    </row>
    <row r="249">
      <c r="A249" s="3" t="s">
        <v>265</v>
      </c>
      <c r="B249" s="3" t="s">
        <v>220</v>
      </c>
      <c r="C249" s="3" t="s">
        <v>287</v>
      </c>
      <c r="D249" s="4" t="str">
        <f t="shared" si="16"/>
        <v>12Go Link</v>
      </c>
      <c r="E249" s="3" t="s">
        <v>225</v>
      </c>
      <c r="K249" s="5"/>
    </row>
    <row r="250">
      <c r="A250" s="3" t="s">
        <v>265</v>
      </c>
      <c r="B250" s="3" t="s">
        <v>220</v>
      </c>
      <c r="C250" s="3" t="s">
        <v>287</v>
      </c>
      <c r="D250" s="4" t="str">
        <f t="shared" si="16"/>
        <v>12Go Link</v>
      </c>
      <c r="E250" s="3" t="s">
        <v>226</v>
      </c>
      <c r="K250" s="5"/>
    </row>
    <row r="251">
      <c r="A251" s="3" t="s">
        <v>265</v>
      </c>
      <c r="B251" s="3" t="s">
        <v>220</v>
      </c>
      <c r="C251" s="3" t="s">
        <v>287</v>
      </c>
      <c r="D251" s="4" t="str">
        <f t="shared" si="16"/>
        <v>12Go Link</v>
      </c>
      <c r="E251" s="3" t="s">
        <v>227</v>
      </c>
      <c r="K251" s="5"/>
    </row>
    <row r="252">
      <c r="A252" s="3" t="s">
        <v>265</v>
      </c>
      <c r="B252" s="3" t="s">
        <v>220</v>
      </c>
      <c r="C252" s="3" t="s">
        <v>287</v>
      </c>
      <c r="D252" s="4" t="str">
        <f t="shared" si="16"/>
        <v>12Go Link</v>
      </c>
      <c r="E252" s="3" t="s">
        <v>228</v>
      </c>
      <c r="K252" s="5"/>
    </row>
    <row r="253">
      <c r="A253" s="3" t="s">
        <v>288</v>
      </c>
      <c r="B253" s="3" t="s">
        <v>220</v>
      </c>
      <c r="C253" s="3" t="s">
        <v>289</v>
      </c>
      <c r="D253" s="4" t="str">
        <f t="shared" ref="D253:D259" si="17">HYPERLINK("https://12go.asia/en/travel/Kratie/Phnom-Penh-Transfer", "12Go Link")</f>
        <v>12Go Link</v>
      </c>
      <c r="E253" s="3" t="s">
        <v>222</v>
      </c>
      <c r="K253" s="5"/>
    </row>
    <row r="254">
      <c r="A254" s="3" t="s">
        <v>288</v>
      </c>
      <c r="B254" s="3" t="s">
        <v>220</v>
      </c>
      <c r="C254" s="3" t="s">
        <v>289</v>
      </c>
      <c r="D254" s="4" t="str">
        <f t="shared" si="17"/>
        <v>12Go Link</v>
      </c>
      <c r="E254" s="3" t="s">
        <v>223</v>
      </c>
      <c r="K254" s="5"/>
    </row>
    <row r="255">
      <c r="A255" s="3" t="s">
        <v>288</v>
      </c>
      <c r="B255" s="3" t="s">
        <v>220</v>
      </c>
      <c r="C255" s="3" t="s">
        <v>289</v>
      </c>
      <c r="D255" s="4" t="str">
        <f t="shared" si="17"/>
        <v>12Go Link</v>
      </c>
      <c r="E255" s="3" t="s">
        <v>224</v>
      </c>
      <c r="K255" s="5"/>
    </row>
    <row r="256">
      <c r="A256" s="3" t="s">
        <v>288</v>
      </c>
      <c r="B256" s="3" t="s">
        <v>220</v>
      </c>
      <c r="C256" s="3" t="s">
        <v>289</v>
      </c>
      <c r="D256" s="4" t="str">
        <f t="shared" si="17"/>
        <v>12Go Link</v>
      </c>
      <c r="E256" s="3" t="s">
        <v>225</v>
      </c>
      <c r="K256" s="5"/>
    </row>
    <row r="257">
      <c r="A257" s="3" t="s">
        <v>288</v>
      </c>
      <c r="B257" s="3" t="s">
        <v>220</v>
      </c>
      <c r="C257" s="3" t="s">
        <v>289</v>
      </c>
      <c r="D257" s="4" t="str">
        <f t="shared" si="17"/>
        <v>12Go Link</v>
      </c>
      <c r="E257" s="3" t="s">
        <v>226</v>
      </c>
      <c r="K257" s="5"/>
    </row>
    <row r="258">
      <c r="A258" s="3" t="s">
        <v>288</v>
      </c>
      <c r="B258" s="3" t="s">
        <v>220</v>
      </c>
      <c r="C258" s="3" t="s">
        <v>289</v>
      </c>
      <c r="D258" s="4" t="str">
        <f t="shared" si="17"/>
        <v>12Go Link</v>
      </c>
      <c r="E258" s="3" t="s">
        <v>227</v>
      </c>
      <c r="K258" s="5"/>
    </row>
    <row r="259">
      <c r="A259" s="3" t="s">
        <v>288</v>
      </c>
      <c r="B259" s="3" t="s">
        <v>220</v>
      </c>
      <c r="C259" s="3" t="s">
        <v>289</v>
      </c>
      <c r="D259" s="4" t="str">
        <f t="shared" si="17"/>
        <v>12Go Link</v>
      </c>
      <c r="E259" s="3" t="s">
        <v>228</v>
      </c>
      <c r="K259" s="5"/>
    </row>
    <row r="260">
      <c r="A260" s="3" t="s">
        <v>269</v>
      </c>
      <c r="B260" s="3" t="s">
        <v>220</v>
      </c>
      <c r="C260" s="3" t="s">
        <v>290</v>
      </c>
      <c r="D260" s="4" t="str">
        <f t="shared" ref="D260:D266" si="18">HYPERLINK("https://12go.asia/en/travel/Mondulkiri/Phnom-Penh-Transfer", "12Go Link")</f>
        <v>12Go Link</v>
      </c>
      <c r="E260" s="3" t="s">
        <v>222</v>
      </c>
      <c r="K260" s="5"/>
    </row>
    <row r="261">
      <c r="A261" s="3" t="s">
        <v>269</v>
      </c>
      <c r="B261" s="3" t="s">
        <v>220</v>
      </c>
      <c r="C261" s="3" t="s">
        <v>290</v>
      </c>
      <c r="D261" s="4" t="str">
        <f t="shared" si="18"/>
        <v>12Go Link</v>
      </c>
      <c r="E261" s="3" t="s">
        <v>223</v>
      </c>
      <c r="K261" s="5"/>
    </row>
    <row r="262">
      <c r="A262" s="3" t="s">
        <v>269</v>
      </c>
      <c r="B262" s="3" t="s">
        <v>220</v>
      </c>
      <c r="C262" s="3" t="s">
        <v>290</v>
      </c>
      <c r="D262" s="4" t="str">
        <f t="shared" si="18"/>
        <v>12Go Link</v>
      </c>
      <c r="E262" s="3" t="s">
        <v>224</v>
      </c>
      <c r="K262" s="5"/>
    </row>
    <row r="263">
      <c r="A263" s="3" t="s">
        <v>269</v>
      </c>
      <c r="B263" s="3" t="s">
        <v>220</v>
      </c>
      <c r="C263" s="3" t="s">
        <v>290</v>
      </c>
      <c r="D263" s="4" t="str">
        <f t="shared" si="18"/>
        <v>12Go Link</v>
      </c>
      <c r="E263" s="3" t="s">
        <v>225</v>
      </c>
      <c r="K263" s="5"/>
    </row>
    <row r="264">
      <c r="A264" s="3" t="s">
        <v>269</v>
      </c>
      <c r="B264" s="3" t="s">
        <v>220</v>
      </c>
      <c r="C264" s="3" t="s">
        <v>290</v>
      </c>
      <c r="D264" s="4" t="str">
        <f t="shared" si="18"/>
        <v>12Go Link</v>
      </c>
      <c r="E264" s="3" t="s">
        <v>226</v>
      </c>
      <c r="K264" s="5"/>
    </row>
    <row r="265">
      <c r="A265" s="3" t="s">
        <v>269</v>
      </c>
      <c r="B265" s="3" t="s">
        <v>220</v>
      </c>
      <c r="C265" s="3" t="s">
        <v>290</v>
      </c>
      <c r="D265" s="4" t="str">
        <f t="shared" si="18"/>
        <v>12Go Link</v>
      </c>
      <c r="E265" s="3" t="s">
        <v>227</v>
      </c>
      <c r="K265" s="5"/>
    </row>
    <row r="266">
      <c r="A266" s="3" t="s">
        <v>269</v>
      </c>
      <c r="B266" s="3" t="s">
        <v>220</v>
      </c>
      <c r="C266" s="3" t="s">
        <v>290</v>
      </c>
      <c r="D266" s="4" t="str">
        <f t="shared" si="18"/>
        <v>12Go Link</v>
      </c>
      <c r="E266" s="3" t="s">
        <v>228</v>
      </c>
      <c r="K266" s="5"/>
    </row>
    <row r="267">
      <c r="A267" s="3" t="s">
        <v>291</v>
      </c>
      <c r="B267" s="3" t="s">
        <v>220</v>
      </c>
      <c r="C267" s="3" t="s">
        <v>292</v>
      </c>
      <c r="D267" s="4" t="str">
        <f t="shared" ref="D267:D273" si="19">HYPERLINK("https://12go.asia/en/travel/Oudong/Phnom-Penh-Transfer", "12Go Link")</f>
        <v>12Go Link</v>
      </c>
      <c r="E267" s="3" t="s">
        <v>222</v>
      </c>
      <c r="K267" s="5"/>
    </row>
    <row r="268">
      <c r="A268" s="3" t="s">
        <v>291</v>
      </c>
      <c r="B268" s="3" t="s">
        <v>220</v>
      </c>
      <c r="C268" s="3" t="s">
        <v>292</v>
      </c>
      <c r="D268" s="4" t="str">
        <f t="shared" si="19"/>
        <v>12Go Link</v>
      </c>
      <c r="E268" s="3" t="s">
        <v>223</v>
      </c>
      <c r="K268" s="5"/>
    </row>
    <row r="269">
      <c r="A269" s="3" t="s">
        <v>291</v>
      </c>
      <c r="B269" s="3" t="s">
        <v>220</v>
      </c>
      <c r="C269" s="3" t="s">
        <v>292</v>
      </c>
      <c r="D269" s="4" t="str">
        <f t="shared" si="19"/>
        <v>12Go Link</v>
      </c>
      <c r="E269" s="3" t="s">
        <v>224</v>
      </c>
      <c r="K269" s="5"/>
    </row>
    <row r="270">
      <c r="A270" s="3" t="s">
        <v>291</v>
      </c>
      <c r="B270" s="3" t="s">
        <v>220</v>
      </c>
      <c r="C270" s="3" t="s">
        <v>292</v>
      </c>
      <c r="D270" s="4" t="str">
        <f t="shared" si="19"/>
        <v>12Go Link</v>
      </c>
      <c r="E270" s="3" t="s">
        <v>225</v>
      </c>
      <c r="K270" s="5"/>
    </row>
    <row r="271">
      <c r="A271" s="3" t="s">
        <v>291</v>
      </c>
      <c r="B271" s="3" t="s">
        <v>220</v>
      </c>
      <c r="C271" s="3" t="s">
        <v>292</v>
      </c>
      <c r="D271" s="4" t="str">
        <f t="shared" si="19"/>
        <v>12Go Link</v>
      </c>
      <c r="E271" s="3" t="s">
        <v>226</v>
      </c>
      <c r="K271" s="5"/>
    </row>
    <row r="272">
      <c r="A272" s="3" t="s">
        <v>291</v>
      </c>
      <c r="B272" s="3" t="s">
        <v>220</v>
      </c>
      <c r="C272" s="3" t="s">
        <v>292</v>
      </c>
      <c r="D272" s="4" t="str">
        <f t="shared" si="19"/>
        <v>12Go Link</v>
      </c>
      <c r="E272" s="3" t="s">
        <v>227</v>
      </c>
      <c r="K272" s="5"/>
    </row>
    <row r="273">
      <c r="A273" s="3" t="s">
        <v>291</v>
      </c>
      <c r="B273" s="3" t="s">
        <v>220</v>
      </c>
      <c r="C273" s="3" t="s">
        <v>292</v>
      </c>
      <c r="D273" s="4" t="str">
        <f t="shared" si="19"/>
        <v>12Go Link</v>
      </c>
      <c r="E273" s="3" t="s">
        <v>228</v>
      </c>
      <c r="K273" s="5"/>
    </row>
    <row r="274">
      <c r="A274" s="3" t="s">
        <v>271</v>
      </c>
      <c r="B274" s="3" t="s">
        <v>220</v>
      </c>
      <c r="C274" s="3" t="s">
        <v>293</v>
      </c>
      <c r="D274" s="4" t="str">
        <f t="shared" ref="D274:D280" si="20">HYPERLINK("https://12go.asia/en/travel/Pailin/Phnom-Penh-Transfer", "12Go Link")</f>
        <v>12Go Link</v>
      </c>
      <c r="E274" s="3" t="s">
        <v>222</v>
      </c>
      <c r="K274" s="5"/>
    </row>
    <row r="275">
      <c r="A275" s="3" t="s">
        <v>271</v>
      </c>
      <c r="B275" s="3" t="s">
        <v>220</v>
      </c>
      <c r="C275" s="3" t="s">
        <v>293</v>
      </c>
      <c r="D275" s="4" t="str">
        <f t="shared" si="20"/>
        <v>12Go Link</v>
      </c>
      <c r="E275" s="3" t="s">
        <v>223</v>
      </c>
      <c r="K275" s="5"/>
    </row>
    <row r="276">
      <c r="A276" s="3" t="s">
        <v>271</v>
      </c>
      <c r="B276" s="3" t="s">
        <v>220</v>
      </c>
      <c r="C276" s="3" t="s">
        <v>293</v>
      </c>
      <c r="D276" s="4" t="str">
        <f t="shared" si="20"/>
        <v>12Go Link</v>
      </c>
      <c r="E276" s="3" t="s">
        <v>224</v>
      </c>
      <c r="K276" s="5"/>
    </row>
    <row r="277">
      <c r="A277" s="3" t="s">
        <v>271</v>
      </c>
      <c r="B277" s="3" t="s">
        <v>220</v>
      </c>
      <c r="C277" s="3" t="s">
        <v>293</v>
      </c>
      <c r="D277" s="4" t="str">
        <f t="shared" si="20"/>
        <v>12Go Link</v>
      </c>
      <c r="E277" s="3" t="s">
        <v>225</v>
      </c>
      <c r="K277" s="5"/>
    </row>
    <row r="278">
      <c r="A278" s="3" t="s">
        <v>271</v>
      </c>
      <c r="B278" s="3" t="s">
        <v>220</v>
      </c>
      <c r="C278" s="3" t="s">
        <v>293</v>
      </c>
      <c r="D278" s="4" t="str">
        <f t="shared" si="20"/>
        <v>12Go Link</v>
      </c>
      <c r="E278" s="3" t="s">
        <v>226</v>
      </c>
      <c r="K278" s="5"/>
    </row>
    <row r="279">
      <c r="A279" s="3" t="s">
        <v>271</v>
      </c>
      <c r="B279" s="3" t="s">
        <v>220</v>
      </c>
      <c r="C279" s="3" t="s">
        <v>293</v>
      </c>
      <c r="D279" s="4" t="str">
        <f t="shared" si="20"/>
        <v>12Go Link</v>
      </c>
      <c r="E279" s="3" t="s">
        <v>227</v>
      </c>
      <c r="K279" s="5"/>
    </row>
    <row r="280">
      <c r="A280" s="3" t="s">
        <v>271</v>
      </c>
      <c r="B280" s="3" t="s">
        <v>220</v>
      </c>
      <c r="C280" s="3" t="s">
        <v>293</v>
      </c>
      <c r="D280" s="4" t="str">
        <f t="shared" si="20"/>
        <v>12Go Link</v>
      </c>
      <c r="E280" s="3" t="s">
        <v>228</v>
      </c>
      <c r="K280" s="5"/>
    </row>
    <row r="281">
      <c r="A281" s="3" t="s">
        <v>220</v>
      </c>
      <c r="B281" s="3" t="s">
        <v>219</v>
      </c>
      <c r="C281" s="3" t="s">
        <v>294</v>
      </c>
      <c r="D281" s="4" t="str">
        <f t="shared" ref="D281:D287" si="21">HYPERLINK("https://12go.asia/en/travel/Phnom-Penh-Transfer/Banteay-Meanchey", "12Go Link")</f>
        <v>12Go Link</v>
      </c>
      <c r="E281" s="3" t="s">
        <v>222</v>
      </c>
      <c r="K281" s="5"/>
    </row>
    <row r="282">
      <c r="A282" s="3" t="s">
        <v>220</v>
      </c>
      <c r="B282" s="3" t="s">
        <v>219</v>
      </c>
      <c r="C282" s="3" t="s">
        <v>294</v>
      </c>
      <c r="D282" s="4" t="str">
        <f t="shared" si="21"/>
        <v>12Go Link</v>
      </c>
      <c r="E282" s="3" t="s">
        <v>223</v>
      </c>
      <c r="K282" s="5"/>
    </row>
    <row r="283">
      <c r="A283" s="3" t="s">
        <v>220</v>
      </c>
      <c r="B283" s="3" t="s">
        <v>219</v>
      </c>
      <c r="C283" s="3" t="s">
        <v>294</v>
      </c>
      <c r="D283" s="4" t="str">
        <f t="shared" si="21"/>
        <v>12Go Link</v>
      </c>
      <c r="E283" s="3" t="s">
        <v>224</v>
      </c>
      <c r="K283" s="5"/>
    </row>
    <row r="284">
      <c r="A284" s="3" t="s">
        <v>220</v>
      </c>
      <c r="B284" s="3" t="s">
        <v>219</v>
      </c>
      <c r="C284" s="3" t="s">
        <v>294</v>
      </c>
      <c r="D284" s="4" t="str">
        <f t="shared" si="21"/>
        <v>12Go Link</v>
      </c>
      <c r="E284" s="3" t="s">
        <v>225</v>
      </c>
      <c r="K284" s="5"/>
    </row>
    <row r="285">
      <c r="A285" s="3" t="s">
        <v>220</v>
      </c>
      <c r="B285" s="3" t="s">
        <v>219</v>
      </c>
      <c r="C285" s="3" t="s">
        <v>294</v>
      </c>
      <c r="D285" s="4" t="str">
        <f t="shared" si="21"/>
        <v>12Go Link</v>
      </c>
      <c r="E285" s="3" t="s">
        <v>226</v>
      </c>
      <c r="K285" s="5"/>
    </row>
    <row r="286">
      <c r="A286" s="3" t="s">
        <v>220</v>
      </c>
      <c r="B286" s="3" t="s">
        <v>219</v>
      </c>
      <c r="C286" s="3" t="s">
        <v>294</v>
      </c>
      <c r="D286" s="4" t="str">
        <f t="shared" si="21"/>
        <v>12Go Link</v>
      </c>
      <c r="E286" s="3" t="s">
        <v>227</v>
      </c>
      <c r="K286" s="5"/>
    </row>
    <row r="287">
      <c r="A287" s="3" t="s">
        <v>220</v>
      </c>
      <c r="B287" s="3" t="s">
        <v>219</v>
      </c>
      <c r="C287" s="3" t="s">
        <v>294</v>
      </c>
      <c r="D287" s="4" t="str">
        <f t="shared" si="21"/>
        <v>12Go Link</v>
      </c>
      <c r="E287" s="3" t="s">
        <v>228</v>
      </c>
      <c r="K287" s="5"/>
    </row>
    <row r="288">
      <c r="A288" s="3" t="s">
        <v>220</v>
      </c>
      <c r="B288" s="3" t="s">
        <v>219</v>
      </c>
      <c r="C288" s="3" t="s">
        <v>295</v>
      </c>
      <c r="D288" s="4" t="str">
        <f t="shared" ref="D288:D294" si="22">HYPERLINK("https://12go.asia/en/travel/Phnom-Penh-Transfer/Poipet", "12Go Link")</f>
        <v>12Go Link</v>
      </c>
      <c r="E288" s="3" t="s">
        <v>222</v>
      </c>
      <c r="K288" s="5"/>
    </row>
    <row r="289">
      <c r="A289" s="3" t="s">
        <v>220</v>
      </c>
      <c r="B289" s="3" t="s">
        <v>219</v>
      </c>
      <c r="C289" s="3" t="s">
        <v>295</v>
      </c>
      <c r="D289" s="4" t="str">
        <f t="shared" si="22"/>
        <v>12Go Link</v>
      </c>
      <c r="E289" s="3" t="s">
        <v>223</v>
      </c>
      <c r="K289" s="5"/>
    </row>
    <row r="290">
      <c r="A290" s="3" t="s">
        <v>220</v>
      </c>
      <c r="B290" s="3" t="s">
        <v>219</v>
      </c>
      <c r="C290" s="3" t="s">
        <v>295</v>
      </c>
      <c r="D290" s="4" t="str">
        <f t="shared" si="22"/>
        <v>12Go Link</v>
      </c>
      <c r="E290" s="3" t="s">
        <v>224</v>
      </c>
      <c r="K290" s="5"/>
    </row>
    <row r="291">
      <c r="A291" s="3" t="s">
        <v>220</v>
      </c>
      <c r="B291" s="3" t="s">
        <v>219</v>
      </c>
      <c r="C291" s="3" t="s">
        <v>295</v>
      </c>
      <c r="D291" s="4" t="str">
        <f t="shared" si="22"/>
        <v>12Go Link</v>
      </c>
      <c r="E291" s="3" t="s">
        <v>225</v>
      </c>
      <c r="K291" s="5"/>
    </row>
    <row r="292">
      <c r="A292" s="3" t="s">
        <v>220</v>
      </c>
      <c r="B292" s="3" t="s">
        <v>219</v>
      </c>
      <c r="C292" s="3" t="s">
        <v>295</v>
      </c>
      <c r="D292" s="4" t="str">
        <f t="shared" si="22"/>
        <v>12Go Link</v>
      </c>
      <c r="E292" s="3" t="s">
        <v>226</v>
      </c>
      <c r="K292" s="5"/>
    </row>
    <row r="293">
      <c r="A293" s="3" t="s">
        <v>220</v>
      </c>
      <c r="B293" s="3" t="s">
        <v>219</v>
      </c>
      <c r="C293" s="3" t="s">
        <v>295</v>
      </c>
      <c r="D293" s="4" t="str">
        <f t="shared" si="22"/>
        <v>12Go Link</v>
      </c>
      <c r="E293" s="3" t="s">
        <v>227</v>
      </c>
      <c r="K293" s="5"/>
    </row>
    <row r="294">
      <c r="A294" s="3" t="s">
        <v>220</v>
      </c>
      <c r="B294" s="3" t="s">
        <v>219</v>
      </c>
      <c r="C294" s="3" t="s">
        <v>295</v>
      </c>
      <c r="D294" s="4" t="str">
        <f t="shared" si="22"/>
        <v>12Go Link</v>
      </c>
      <c r="E294" s="3" t="s">
        <v>228</v>
      </c>
      <c r="K294" s="5"/>
    </row>
    <row r="295">
      <c r="A295" s="3" t="s">
        <v>220</v>
      </c>
      <c r="B295" s="3" t="s">
        <v>230</v>
      </c>
      <c r="C295" s="3" t="s">
        <v>296</v>
      </c>
      <c r="D295" s="4" t="str">
        <f t="shared" ref="D295:D301" si="23">HYPERLINK("https://12go.asia/en/travel/Phnom-Penh-Transfer/Battambang-Transfer", "12Go Link")</f>
        <v>12Go Link</v>
      </c>
      <c r="E295" s="3" t="s">
        <v>222</v>
      </c>
      <c r="K295" s="5"/>
    </row>
    <row r="296">
      <c r="A296" s="3" t="s">
        <v>220</v>
      </c>
      <c r="B296" s="3" t="s">
        <v>230</v>
      </c>
      <c r="C296" s="3" t="s">
        <v>296</v>
      </c>
      <c r="D296" s="4" t="str">
        <f t="shared" si="23"/>
        <v>12Go Link</v>
      </c>
      <c r="E296" s="3" t="s">
        <v>223</v>
      </c>
      <c r="K296" s="5"/>
    </row>
    <row r="297">
      <c r="A297" s="3" t="s">
        <v>220</v>
      </c>
      <c r="B297" s="3" t="s">
        <v>230</v>
      </c>
      <c r="C297" s="3" t="s">
        <v>296</v>
      </c>
      <c r="D297" s="4" t="str">
        <f t="shared" si="23"/>
        <v>12Go Link</v>
      </c>
      <c r="E297" s="3" t="s">
        <v>224</v>
      </c>
      <c r="K297" s="5"/>
    </row>
    <row r="298">
      <c r="A298" s="3" t="s">
        <v>220</v>
      </c>
      <c r="B298" s="3" t="s">
        <v>230</v>
      </c>
      <c r="C298" s="3" t="s">
        <v>296</v>
      </c>
      <c r="D298" s="4" t="str">
        <f t="shared" si="23"/>
        <v>12Go Link</v>
      </c>
      <c r="E298" s="3" t="s">
        <v>225</v>
      </c>
      <c r="K298" s="5"/>
    </row>
    <row r="299">
      <c r="A299" s="3" t="s">
        <v>220</v>
      </c>
      <c r="B299" s="3" t="s">
        <v>230</v>
      </c>
      <c r="C299" s="3" t="s">
        <v>296</v>
      </c>
      <c r="D299" s="4" t="str">
        <f t="shared" si="23"/>
        <v>12Go Link</v>
      </c>
      <c r="E299" s="3" t="s">
        <v>226</v>
      </c>
      <c r="K299" s="5"/>
    </row>
    <row r="300">
      <c r="A300" s="3" t="s">
        <v>220</v>
      </c>
      <c r="B300" s="3" t="s">
        <v>230</v>
      </c>
      <c r="C300" s="3" t="s">
        <v>296</v>
      </c>
      <c r="D300" s="4" t="str">
        <f t="shared" si="23"/>
        <v>12Go Link</v>
      </c>
      <c r="E300" s="3" t="s">
        <v>227</v>
      </c>
      <c r="K300" s="5"/>
    </row>
    <row r="301">
      <c r="A301" s="3" t="s">
        <v>220</v>
      </c>
      <c r="B301" s="3" t="s">
        <v>230</v>
      </c>
      <c r="C301" s="3" t="s">
        <v>296</v>
      </c>
      <c r="D301" s="4" t="str">
        <f t="shared" si="23"/>
        <v>12Go Link</v>
      </c>
      <c r="E301" s="3" t="s">
        <v>228</v>
      </c>
      <c r="K301" s="5"/>
    </row>
    <row r="302">
      <c r="A302" s="3" t="s">
        <v>220</v>
      </c>
      <c r="B302" s="3" t="s">
        <v>232</v>
      </c>
      <c r="C302" s="3" t="s">
        <v>297</v>
      </c>
      <c r="D302" s="4" t="str">
        <f t="shared" ref="D302:D308" si="24">HYPERLINK("https://12go.asia/en/travel/Phnom-Penh-Transfer/Bokor-Mountain", "12Go Link")</f>
        <v>12Go Link</v>
      </c>
      <c r="E302" s="3" t="s">
        <v>222</v>
      </c>
      <c r="K302" s="5"/>
    </row>
    <row r="303">
      <c r="A303" s="3" t="s">
        <v>220</v>
      </c>
      <c r="B303" s="3" t="s">
        <v>232</v>
      </c>
      <c r="C303" s="3" t="s">
        <v>297</v>
      </c>
      <c r="D303" s="4" t="str">
        <f t="shared" si="24"/>
        <v>12Go Link</v>
      </c>
      <c r="E303" s="3" t="s">
        <v>223</v>
      </c>
      <c r="K303" s="5"/>
    </row>
    <row r="304">
      <c r="A304" s="3" t="s">
        <v>220</v>
      </c>
      <c r="B304" s="3" t="s">
        <v>232</v>
      </c>
      <c r="C304" s="3" t="s">
        <v>297</v>
      </c>
      <c r="D304" s="4" t="str">
        <f t="shared" si="24"/>
        <v>12Go Link</v>
      </c>
      <c r="E304" s="3" t="s">
        <v>224</v>
      </c>
      <c r="K304" s="5"/>
    </row>
    <row r="305">
      <c r="A305" s="3" t="s">
        <v>220</v>
      </c>
      <c r="B305" s="3" t="s">
        <v>232</v>
      </c>
      <c r="C305" s="3" t="s">
        <v>297</v>
      </c>
      <c r="D305" s="4" t="str">
        <f t="shared" si="24"/>
        <v>12Go Link</v>
      </c>
      <c r="E305" s="3" t="s">
        <v>225</v>
      </c>
      <c r="K305" s="5"/>
    </row>
    <row r="306">
      <c r="A306" s="3" t="s">
        <v>220</v>
      </c>
      <c r="B306" s="3" t="s">
        <v>232</v>
      </c>
      <c r="C306" s="3" t="s">
        <v>297</v>
      </c>
      <c r="D306" s="4" t="str">
        <f t="shared" si="24"/>
        <v>12Go Link</v>
      </c>
      <c r="E306" s="3" t="s">
        <v>226</v>
      </c>
      <c r="K306" s="5"/>
    </row>
    <row r="307">
      <c r="A307" s="3" t="s">
        <v>220</v>
      </c>
      <c r="B307" s="3" t="s">
        <v>232</v>
      </c>
      <c r="C307" s="3" t="s">
        <v>297</v>
      </c>
      <c r="D307" s="4" t="str">
        <f t="shared" si="24"/>
        <v>12Go Link</v>
      </c>
      <c r="E307" s="3" t="s">
        <v>227</v>
      </c>
      <c r="K307" s="5"/>
    </row>
    <row r="308">
      <c r="A308" s="3" t="s">
        <v>220</v>
      </c>
      <c r="B308" s="3" t="s">
        <v>232</v>
      </c>
      <c r="C308" s="3" t="s">
        <v>297</v>
      </c>
      <c r="D308" s="4" t="str">
        <f t="shared" si="24"/>
        <v>12Go Link</v>
      </c>
      <c r="E308" s="3" t="s">
        <v>228</v>
      </c>
      <c r="K308" s="5"/>
    </row>
    <row r="309">
      <c r="A309" s="3" t="s">
        <v>220</v>
      </c>
      <c r="B309" s="3" t="s">
        <v>234</v>
      </c>
      <c r="C309" s="3" t="s">
        <v>298</v>
      </c>
      <c r="D309" s="4" t="str">
        <f t="shared" ref="D309:D315" si="25">HYPERLINK("https://12go.asia/en/travel/Phnom-Penh-Transfer/Kampong-Cham", "12Go Link")</f>
        <v>12Go Link</v>
      </c>
      <c r="E309" s="3" t="s">
        <v>222</v>
      </c>
      <c r="K309" s="5"/>
    </row>
    <row r="310">
      <c r="A310" s="3" t="s">
        <v>220</v>
      </c>
      <c r="B310" s="3" t="s">
        <v>234</v>
      </c>
      <c r="C310" s="3" t="s">
        <v>298</v>
      </c>
      <c r="D310" s="4" t="str">
        <f t="shared" si="25"/>
        <v>12Go Link</v>
      </c>
      <c r="E310" s="3" t="s">
        <v>223</v>
      </c>
      <c r="K310" s="5"/>
    </row>
    <row r="311">
      <c r="A311" s="3" t="s">
        <v>220</v>
      </c>
      <c r="B311" s="3" t="s">
        <v>234</v>
      </c>
      <c r="C311" s="3" t="s">
        <v>298</v>
      </c>
      <c r="D311" s="4" t="str">
        <f t="shared" si="25"/>
        <v>12Go Link</v>
      </c>
      <c r="E311" s="3" t="s">
        <v>224</v>
      </c>
      <c r="K311" s="5"/>
    </row>
    <row r="312">
      <c r="A312" s="3" t="s">
        <v>220</v>
      </c>
      <c r="B312" s="3" t="s">
        <v>234</v>
      </c>
      <c r="C312" s="3" t="s">
        <v>298</v>
      </c>
      <c r="D312" s="4" t="str">
        <f t="shared" si="25"/>
        <v>12Go Link</v>
      </c>
      <c r="E312" s="3" t="s">
        <v>225</v>
      </c>
      <c r="K312" s="5"/>
    </row>
    <row r="313">
      <c r="A313" s="3" t="s">
        <v>220</v>
      </c>
      <c r="B313" s="3" t="s">
        <v>234</v>
      </c>
      <c r="C313" s="3" t="s">
        <v>298</v>
      </c>
      <c r="D313" s="4" t="str">
        <f t="shared" si="25"/>
        <v>12Go Link</v>
      </c>
      <c r="E313" s="3" t="s">
        <v>226</v>
      </c>
      <c r="K313" s="5"/>
    </row>
    <row r="314">
      <c r="A314" s="3" t="s">
        <v>220</v>
      </c>
      <c r="B314" s="3" t="s">
        <v>234</v>
      </c>
      <c r="C314" s="3" t="s">
        <v>298</v>
      </c>
      <c r="D314" s="4" t="str">
        <f t="shared" si="25"/>
        <v>12Go Link</v>
      </c>
      <c r="E314" s="3" t="s">
        <v>227</v>
      </c>
      <c r="K314" s="5"/>
    </row>
    <row r="315">
      <c r="A315" s="3" t="s">
        <v>220</v>
      </c>
      <c r="B315" s="3" t="s">
        <v>234</v>
      </c>
      <c r="C315" s="3" t="s">
        <v>298</v>
      </c>
      <c r="D315" s="4" t="str">
        <f t="shared" si="25"/>
        <v>12Go Link</v>
      </c>
      <c r="E315" s="3" t="s">
        <v>228</v>
      </c>
      <c r="K315" s="5"/>
    </row>
    <row r="316">
      <c r="A316" s="3" t="s">
        <v>220</v>
      </c>
      <c r="B316" s="3" t="s">
        <v>236</v>
      </c>
      <c r="C316" s="3" t="s">
        <v>299</v>
      </c>
      <c r="D316" s="4" t="str">
        <f t="shared" ref="D316:D322" si="26">HYPERLINK("https://12go.asia/en/travel/Phnom-Penh-Transfer/Kampong-Chhnang", "12Go Link")</f>
        <v>12Go Link</v>
      </c>
      <c r="E316" s="3" t="s">
        <v>222</v>
      </c>
      <c r="K316" s="5"/>
    </row>
    <row r="317">
      <c r="A317" s="3" t="s">
        <v>220</v>
      </c>
      <c r="B317" s="3" t="s">
        <v>236</v>
      </c>
      <c r="C317" s="3" t="s">
        <v>299</v>
      </c>
      <c r="D317" s="4" t="str">
        <f t="shared" si="26"/>
        <v>12Go Link</v>
      </c>
      <c r="E317" s="3" t="s">
        <v>223</v>
      </c>
      <c r="K317" s="5"/>
    </row>
    <row r="318">
      <c r="A318" s="3" t="s">
        <v>220</v>
      </c>
      <c r="B318" s="3" t="s">
        <v>236</v>
      </c>
      <c r="C318" s="3" t="s">
        <v>299</v>
      </c>
      <c r="D318" s="4" t="str">
        <f t="shared" si="26"/>
        <v>12Go Link</v>
      </c>
      <c r="E318" s="3" t="s">
        <v>224</v>
      </c>
      <c r="K318" s="5"/>
    </row>
    <row r="319">
      <c r="A319" s="3" t="s">
        <v>220</v>
      </c>
      <c r="B319" s="3" t="s">
        <v>236</v>
      </c>
      <c r="C319" s="3" t="s">
        <v>299</v>
      </c>
      <c r="D319" s="4" t="str">
        <f t="shared" si="26"/>
        <v>12Go Link</v>
      </c>
      <c r="E319" s="3" t="s">
        <v>225</v>
      </c>
      <c r="K319" s="5"/>
    </row>
    <row r="320">
      <c r="A320" s="3" t="s">
        <v>220</v>
      </c>
      <c r="B320" s="3" t="s">
        <v>236</v>
      </c>
      <c r="C320" s="3" t="s">
        <v>299</v>
      </c>
      <c r="D320" s="4" t="str">
        <f t="shared" si="26"/>
        <v>12Go Link</v>
      </c>
      <c r="E320" s="3" t="s">
        <v>226</v>
      </c>
      <c r="K320" s="5"/>
    </row>
    <row r="321">
      <c r="A321" s="3" t="s">
        <v>220</v>
      </c>
      <c r="B321" s="3" t="s">
        <v>236</v>
      </c>
      <c r="C321" s="3" t="s">
        <v>299</v>
      </c>
      <c r="D321" s="4" t="str">
        <f t="shared" si="26"/>
        <v>12Go Link</v>
      </c>
      <c r="E321" s="3" t="s">
        <v>227</v>
      </c>
      <c r="K321" s="5"/>
    </row>
    <row r="322">
      <c r="A322" s="3" t="s">
        <v>220</v>
      </c>
      <c r="B322" s="3" t="s">
        <v>236</v>
      </c>
      <c r="C322" s="3" t="s">
        <v>299</v>
      </c>
      <c r="D322" s="4" t="str">
        <f t="shared" si="26"/>
        <v>12Go Link</v>
      </c>
      <c r="E322" s="3" t="s">
        <v>228</v>
      </c>
      <c r="K322" s="5"/>
    </row>
    <row r="323">
      <c r="A323" s="3" t="s">
        <v>220</v>
      </c>
      <c r="B323" s="3" t="s">
        <v>240</v>
      </c>
      <c r="C323" s="3" t="s">
        <v>300</v>
      </c>
      <c r="D323" s="4" t="str">
        <f t="shared" ref="D323:D329" si="27">HYPERLINK("https://12go.asia/en/travel/Phnom-Penh-Transfer/Kampong-Speu", "12Go Link")</f>
        <v>12Go Link</v>
      </c>
      <c r="E323" s="3" t="s">
        <v>222</v>
      </c>
      <c r="K323" s="5"/>
    </row>
    <row r="324">
      <c r="A324" s="3" t="s">
        <v>220</v>
      </c>
      <c r="B324" s="3" t="s">
        <v>240</v>
      </c>
      <c r="C324" s="3" t="s">
        <v>300</v>
      </c>
      <c r="D324" s="4" t="str">
        <f t="shared" si="27"/>
        <v>12Go Link</v>
      </c>
      <c r="E324" s="3" t="s">
        <v>223</v>
      </c>
      <c r="K324" s="5"/>
    </row>
    <row r="325">
      <c r="A325" s="3" t="s">
        <v>220</v>
      </c>
      <c r="B325" s="3" t="s">
        <v>240</v>
      </c>
      <c r="C325" s="3" t="s">
        <v>300</v>
      </c>
      <c r="D325" s="4" t="str">
        <f t="shared" si="27"/>
        <v>12Go Link</v>
      </c>
      <c r="E325" s="3" t="s">
        <v>224</v>
      </c>
      <c r="K325" s="5"/>
    </row>
    <row r="326">
      <c r="A326" s="3" t="s">
        <v>220</v>
      </c>
      <c r="B326" s="3" t="s">
        <v>240</v>
      </c>
      <c r="C326" s="3" t="s">
        <v>300</v>
      </c>
      <c r="D326" s="4" t="str">
        <f t="shared" si="27"/>
        <v>12Go Link</v>
      </c>
      <c r="E326" s="3" t="s">
        <v>225</v>
      </c>
      <c r="K326" s="5"/>
    </row>
    <row r="327">
      <c r="A327" s="3" t="s">
        <v>220</v>
      </c>
      <c r="B327" s="3" t="s">
        <v>240</v>
      </c>
      <c r="C327" s="3" t="s">
        <v>300</v>
      </c>
      <c r="D327" s="4" t="str">
        <f t="shared" si="27"/>
        <v>12Go Link</v>
      </c>
      <c r="E327" s="3" t="s">
        <v>226</v>
      </c>
      <c r="K327" s="5"/>
    </row>
    <row r="328">
      <c r="A328" s="3" t="s">
        <v>220</v>
      </c>
      <c r="B328" s="3" t="s">
        <v>240</v>
      </c>
      <c r="C328" s="3" t="s">
        <v>300</v>
      </c>
      <c r="D328" s="4" t="str">
        <f t="shared" si="27"/>
        <v>12Go Link</v>
      </c>
      <c r="E328" s="3" t="s">
        <v>227</v>
      </c>
      <c r="K328" s="5"/>
    </row>
    <row r="329">
      <c r="A329" s="3" t="s">
        <v>220</v>
      </c>
      <c r="B329" s="3" t="s">
        <v>240</v>
      </c>
      <c r="C329" s="3" t="s">
        <v>300</v>
      </c>
      <c r="D329" s="4" t="str">
        <f t="shared" si="27"/>
        <v>12Go Link</v>
      </c>
      <c r="E329" s="3" t="s">
        <v>228</v>
      </c>
      <c r="K329" s="5"/>
    </row>
    <row r="330">
      <c r="A330" s="3" t="s">
        <v>220</v>
      </c>
      <c r="B330" s="3" t="s">
        <v>240</v>
      </c>
      <c r="C330" s="3" t="s">
        <v>301</v>
      </c>
      <c r="D330" s="4" t="str">
        <f t="shared" ref="D330:D336" si="28">HYPERLINK("https://12go.asia/en/travel/Phnom-Penh-Transfer/Kirirom-National-Park", "12Go Link")</f>
        <v>12Go Link</v>
      </c>
      <c r="E330" s="3" t="s">
        <v>222</v>
      </c>
      <c r="K330" s="5"/>
    </row>
    <row r="331">
      <c r="A331" s="3" t="s">
        <v>220</v>
      </c>
      <c r="B331" s="3" t="s">
        <v>240</v>
      </c>
      <c r="C331" s="3" t="s">
        <v>301</v>
      </c>
      <c r="D331" s="4" t="str">
        <f t="shared" si="28"/>
        <v>12Go Link</v>
      </c>
      <c r="E331" s="3" t="s">
        <v>223</v>
      </c>
      <c r="K331" s="5"/>
    </row>
    <row r="332">
      <c r="A332" s="3" t="s">
        <v>220</v>
      </c>
      <c r="B332" s="3" t="s">
        <v>240</v>
      </c>
      <c r="C332" s="3" t="s">
        <v>301</v>
      </c>
      <c r="D332" s="4" t="str">
        <f t="shared" si="28"/>
        <v>12Go Link</v>
      </c>
      <c r="E332" s="3" t="s">
        <v>224</v>
      </c>
      <c r="K332" s="5"/>
    </row>
    <row r="333">
      <c r="A333" s="3" t="s">
        <v>220</v>
      </c>
      <c r="B333" s="3" t="s">
        <v>240</v>
      </c>
      <c r="C333" s="3" t="s">
        <v>301</v>
      </c>
      <c r="D333" s="4" t="str">
        <f t="shared" si="28"/>
        <v>12Go Link</v>
      </c>
      <c r="E333" s="3" t="s">
        <v>225</v>
      </c>
      <c r="K333" s="5"/>
    </row>
    <row r="334">
      <c r="A334" s="3" t="s">
        <v>220</v>
      </c>
      <c r="B334" s="3" t="s">
        <v>240</v>
      </c>
      <c r="C334" s="3" t="s">
        <v>301</v>
      </c>
      <c r="D334" s="4" t="str">
        <f t="shared" si="28"/>
        <v>12Go Link</v>
      </c>
      <c r="E334" s="3" t="s">
        <v>226</v>
      </c>
      <c r="K334" s="5"/>
    </row>
    <row r="335">
      <c r="A335" s="3" t="s">
        <v>220</v>
      </c>
      <c r="B335" s="3" t="s">
        <v>240</v>
      </c>
      <c r="C335" s="3" t="s">
        <v>301</v>
      </c>
      <c r="D335" s="4" t="str">
        <f t="shared" si="28"/>
        <v>12Go Link</v>
      </c>
      <c r="E335" s="3" t="s">
        <v>227</v>
      </c>
      <c r="K335" s="5"/>
    </row>
    <row r="336">
      <c r="A336" s="3" t="s">
        <v>220</v>
      </c>
      <c r="B336" s="3" t="s">
        <v>240</v>
      </c>
      <c r="C336" s="3" t="s">
        <v>301</v>
      </c>
      <c r="D336" s="4" t="str">
        <f t="shared" si="28"/>
        <v>12Go Link</v>
      </c>
      <c r="E336" s="3" t="s">
        <v>228</v>
      </c>
      <c r="K336" s="5"/>
    </row>
    <row r="337">
      <c r="A337" s="3" t="s">
        <v>220</v>
      </c>
      <c r="B337" s="3" t="s">
        <v>243</v>
      </c>
      <c r="C337" s="3" t="s">
        <v>302</v>
      </c>
      <c r="D337" s="4" t="str">
        <f t="shared" ref="D337:D343" si="29">HYPERLINK("https://12go.asia/en/travel/Phnom-Penh-Transfer/Kampong-Thom", "12Go Link")</f>
        <v>12Go Link</v>
      </c>
      <c r="E337" s="3" t="s">
        <v>222</v>
      </c>
      <c r="K337" s="5"/>
    </row>
    <row r="338">
      <c r="A338" s="3" t="s">
        <v>220</v>
      </c>
      <c r="B338" s="3" t="s">
        <v>243</v>
      </c>
      <c r="C338" s="3" t="s">
        <v>302</v>
      </c>
      <c r="D338" s="4" t="str">
        <f t="shared" si="29"/>
        <v>12Go Link</v>
      </c>
      <c r="E338" s="3" t="s">
        <v>223</v>
      </c>
      <c r="K338" s="5"/>
    </row>
    <row r="339">
      <c r="A339" s="3" t="s">
        <v>220</v>
      </c>
      <c r="B339" s="3" t="s">
        <v>243</v>
      </c>
      <c r="C339" s="3" t="s">
        <v>302</v>
      </c>
      <c r="D339" s="4" t="str">
        <f t="shared" si="29"/>
        <v>12Go Link</v>
      </c>
      <c r="E339" s="3" t="s">
        <v>224</v>
      </c>
      <c r="K339" s="5"/>
    </row>
    <row r="340">
      <c r="A340" s="3" t="s">
        <v>220</v>
      </c>
      <c r="B340" s="3" t="s">
        <v>243</v>
      </c>
      <c r="C340" s="3" t="s">
        <v>302</v>
      </c>
      <c r="D340" s="4" t="str">
        <f t="shared" si="29"/>
        <v>12Go Link</v>
      </c>
      <c r="E340" s="3" t="s">
        <v>225</v>
      </c>
      <c r="K340" s="5"/>
    </row>
    <row r="341">
      <c r="A341" s="3" t="s">
        <v>220</v>
      </c>
      <c r="B341" s="3" t="s">
        <v>243</v>
      </c>
      <c r="C341" s="3" t="s">
        <v>302</v>
      </c>
      <c r="D341" s="4" t="str">
        <f t="shared" si="29"/>
        <v>12Go Link</v>
      </c>
      <c r="E341" s="3" t="s">
        <v>226</v>
      </c>
      <c r="K341" s="5"/>
    </row>
    <row r="342">
      <c r="A342" s="3" t="s">
        <v>220</v>
      </c>
      <c r="B342" s="3" t="s">
        <v>243</v>
      </c>
      <c r="C342" s="3" t="s">
        <v>302</v>
      </c>
      <c r="D342" s="4" t="str">
        <f t="shared" si="29"/>
        <v>12Go Link</v>
      </c>
      <c r="E342" s="3" t="s">
        <v>227</v>
      </c>
      <c r="K342" s="5"/>
    </row>
    <row r="343">
      <c r="A343" s="3" t="s">
        <v>220</v>
      </c>
      <c r="B343" s="3" t="s">
        <v>243</v>
      </c>
      <c r="C343" s="3" t="s">
        <v>302</v>
      </c>
      <c r="D343" s="4" t="str">
        <f t="shared" si="29"/>
        <v>12Go Link</v>
      </c>
      <c r="E343" s="3" t="s">
        <v>228</v>
      </c>
      <c r="K343" s="5"/>
    </row>
    <row r="344">
      <c r="A344" s="3" t="s">
        <v>220</v>
      </c>
      <c r="B344" s="3" t="s">
        <v>245</v>
      </c>
      <c r="C344" s="3" t="s">
        <v>303</v>
      </c>
      <c r="D344" s="4" t="str">
        <f t="shared" ref="D344:D350" si="30">HYPERLINK("https://12go.asia/en/travel/Phnom-Penh-Transfer/Kampot", "12Go Link")</f>
        <v>12Go Link</v>
      </c>
      <c r="E344" s="3" t="s">
        <v>222</v>
      </c>
      <c r="K344" s="5"/>
    </row>
    <row r="345">
      <c r="A345" s="3" t="s">
        <v>220</v>
      </c>
      <c r="B345" s="3" t="s">
        <v>245</v>
      </c>
      <c r="C345" s="3" t="s">
        <v>303</v>
      </c>
      <c r="D345" s="4" t="str">
        <f t="shared" si="30"/>
        <v>12Go Link</v>
      </c>
      <c r="E345" s="3" t="s">
        <v>223</v>
      </c>
      <c r="K345" s="5"/>
    </row>
    <row r="346">
      <c r="A346" s="3" t="s">
        <v>220</v>
      </c>
      <c r="B346" s="3" t="s">
        <v>245</v>
      </c>
      <c r="C346" s="3" t="s">
        <v>303</v>
      </c>
      <c r="D346" s="4" t="str">
        <f t="shared" si="30"/>
        <v>12Go Link</v>
      </c>
      <c r="E346" s="3" t="s">
        <v>224</v>
      </c>
      <c r="K346" s="5"/>
    </row>
    <row r="347">
      <c r="A347" s="3" t="s">
        <v>220</v>
      </c>
      <c r="B347" s="3" t="s">
        <v>245</v>
      </c>
      <c r="C347" s="3" t="s">
        <v>303</v>
      </c>
      <c r="D347" s="4" t="str">
        <f t="shared" si="30"/>
        <v>12Go Link</v>
      </c>
      <c r="E347" s="3" t="s">
        <v>225</v>
      </c>
      <c r="K347" s="5"/>
    </row>
    <row r="348">
      <c r="A348" s="3" t="s">
        <v>220</v>
      </c>
      <c r="B348" s="3" t="s">
        <v>245</v>
      </c>
      <c r="C348" s="3" t="s">
        <v>303</v>
      </c>
      <c r="D348" s="4" t="str">
        <f t="shared" si="30"/>
        <v>12Go Link</v>
      </c>
      <c r="E348" s="3" t="s">
        <v>226</v>
      </c>
      <c r="K348" s="5"/>
    </row>
    <row r="349">
      <c r="A349" s="3" t="s">
        <v>220</v>
      </c>
      <c r="B349" s="3" t="s">
        <v>245</v>
      </c>
      <c r="C349" s="3" t="s">
        <v>303</v>
      </c>
      <c r="D349" s="4" t="str">
        <f t="shared" si="30"/>
        <v>12Go Link</v>
      </c>
      <c r="E349" s="3" t="s">
        <v>227</v>
      </c>
      <c r="K349" s="5"/>
    </row>
    <row r="350">
      <c r="A350" s="3" t="s">
        <v>220</v>
      </c>
      <c r="B350" s="3" t="s">
        <v>245</v>
      </c>
      <c r="C350" s="3" t="s">
        <v>303</v>
      </c>
      <c r="D350" s="4" t="str">
        <f t="shared" si="30"/>
        <v>12Go Link</v>
      </c>
      <c r="E350" s="3" t="s">
        <v>228</v>
      </c>
      <c r="K350" s="5"/>
    </row>
    <row r="351">
      <c r="A351" s="3" t="s">
        <v>220</v>
      </c>
      <c r="B351" s="3" t="s">
        <v>247</v>
      </c>
      <c r="C351" s="3" t="s">
        <v>304</v>
      </c>
      <c r="D351" s="4" t="str">
        <f t="shared" ref="D351:D357" si="31">HYPERLINK("https://12go.asia/en/travel/Phnom-Penh-Transfer/Kandal", "12Go Link")</f>
        <v>12Go Link</v>
      </c>
      <c r="E351" s="3" t="s">
        <v>222</v>
      </c>
      <c r="K351" s="5"/>
    </row>
    <row r="352">
      <c r="A352" s="3" t="s">
        <v>220</v>
      </c>
      <c r="B352" s="3" t="s">
        <v>247</v>
      </c>
      <c r="C352" s="3" t="s">
        <v>304</v>
      </c>
      <c r="D352" s="4" t="str">
        <f t="shared" si="31"/>
        <v>12Go Link</v>
      </c>
      <c r="E352" s="3" t="s">
        <v>223</v>
      </c>
      <c r="K352" s="5"/>
    </row>
    <row r="353">
      <c r="A353" s="3" t="s">
        <v>220</v>
      </c>
      <c r="B353" s="3" t="s">
        <v>247</v>
      </c>
      <c r="C353" s="3" t="s">
        <v>304</v>
      </c>
      <c r="D353" s="4" t="str">
        <f t="shared" si="31"/>
        <v>12Go Link</v>
      </c>
      <c r="E353" s="3" t="s">
        <v>224</v>
      </c>
      <c r="K353" s="5"/>
    </row>
    <row r="354">
      <c r="A354" s="3" t="s">
        <v>220</v>
      </c>
      <c r="B354" s="3" t="s">
        <v>247</v>
      </c>
      <c r="C354" s="3" t="s">
        <v>304</v>
      </c>
      <c r="D354" s="4" t="str">
        <f t="shared" si="31"/>
        <v>12Go Link</v>
      </c>
      <c r="E354" s="3" t="s">
        <v>225</v>
      </c>
      <c r="K354" s="5"/>
    </row>
    <row r="355">
      <c r="A355" s="3" t="s">
        <v>220</v>
      </c>
      <c r="B355" s="3" t="s">
        <v>247</v>
      </c>
      <c r="C355" s="3" t="s">
        <v>304</v>
      </c>
      <c r="D355" s="4" t="str">
        <f t="shared" si="31"/>
        <v>12Go Link</v>
      </c>
      <c r="E355" s="3" t="s">
        <v>226</v>
      </c>
      <c r="K355" s="5"/>
    </row>
    <row r="356">
      <c r="A356" s="3" t="s">
        <v>220</v>
      </c>
      <c r="B356" s="3" t="s">
        <v>247</v>
      </c>
      <c r="C356" s="3" t="s">
        <v>304</v>
      </c>
      <c r="D356" s="4" t="str">
        <f t="shared" si="31"/>
        <v>12Go Link</v>
      </c>
      <c r="E356" s="3" t="s">
        <v>227</v>
      </c>
      <c r="K356" s="5"/>
    </row>
    <row r="357">
      <c r="A357" s="3" t="s">
        <v>220</v>
      </c>
      <c r="B357" s="3" t="s">
        <v>247</v>
      </c>
      <c r="C357" s="3" t="s">
        <v>304</v>
      </c>
      <c r="D357" s="4" t="str">
        <f t="shared" si="31"/>
        <v>12Go Link</v>
      </c>
      <c r="E357" s="3" t="s">
        <v>228</v>
      </c>
      <c r="K357" s="5"/>
    </row>
    <row r="358">
      <c r="A358" s="3" t="s">
        <v>220</v>
      </c>
      <c r="B358" s="3" t="s">
        <v>247</v>
      </c>
      <c r="C358" s="3" t="s">
        <v>305</v>
      </c>
      <c r="D358" s="4" t="str">
        <f t="shared" ref="D358:D364" si="32">HYPERLINK("https://12go.asia/en/travel/Phnom-Penh-Transfer/Tonle-Bati", "12Go Link")</f>
        <v>12Go Link</v>
      </c>
      <c r="E358" s="3" t="s">
        <v>222</v>
      </c>
      <c r="K358" s="5"/>
    </row>
    <row r="359">
      <c r="A359" s="3" t="s">
        <v>220</v>
      </c>
      <c r="B359" s="3" t="s">
        <v>247</v>
      </c>
      <c r="C359" s="3" t="s">
        <v>305</v>
      </c>
      <c r="D359" s="4" t="str">
        <f t="shared" si="32"/>
        <v>12Go Link</v>
      </c>
      <c r="E359" s="3" t="s">
        <v>223</v>
      </c>
      <c r="K359" s="5"/>
    </row>
    <row r="360">
      <c r="A360" s="3" t="s">
        <v>220</v>
      </c>
      <c r="B360" s="3" t="s">
        <v>247</v>
      </c>
      <c r="C360" s="3" t="s">
        <v>305</v>
      </c>
      <c r="D360" s="4" t="str">
        <f t="shared" si="32"/>
        <v>12Go Link</v>
      </c>
      <c r="E360" s="3" t="s">
        <v>224</v>
      </c>
      <c r="K360" s="5"/>
    </row>
    <row r="361">
      <c r="A361" s="3" t="s">
        <v>220</v>
      </c>
      <c r="B361" s="3" t="s">
        <v>247</v>
      </c>
      <c r="C361" s="3" t="s">
        <v>305</v>
      </c>
      <c r="D361" s="4" t="str">
        <f t="shared" si="32"/>
        <v>12Go Link</v>
      </c>
      <c r="E361" s="3" t="s">
        <v>225</v>
      </c>
      <c r="K361" s="5"/>
    </row>
    <row r="362">
      <c r="A362" s="3" t="s">
        <v>220</v>
      </c>
      <c r="B362" s="3" t="s">
        <v>247</v>
      </c>
      <c r="C362" s="3" t="s">
        <v>305</v>
      </c>
      <c r="D362" s="4" t="str">
        <f t="shared" si="32"/>
        <v>12Go Link</v>
      </c>
      <c r="E362" s="3" t="s">
        <v>226</v>
      </c>
      <c r="K362" s="5"/>
    </row>
    <row r="363">
      <c r="A363" s="3" t="s">
        <v>220</v>
      </c>
      <c r="B363" s="3" t="s">
        <v>247</v>
      </c>
      <c r="C363" s="3" t="s">
        <v>305</v>
      </c>
      <c r="D363" s="4" t="str">
        <f t="shared" si="32"/>
        <v>12Go Link</v>
      </c>
      <c r="E363" s="3" t="s">
        <v>227</v>
      </c>
      <c r="K363" s="5"/>
    </row>
    <row r="364">
      <c r="A364" s="3" t="s">
        <v>220</v>
      </c>
      <c r="B364" s="3" t="s">
        <v>247</v>
      </c>
      <c r="C364" s="3" t="s">
        <v>305</v>
      </c>
      <c r="D364" s="4" t="str">
        <f t="shared" si="32"/>
        <v>12Go Link</v>
      </c>
      <c r="E364" s="3" t="s">
        <v>228</v>
      </c>
      <c r="K364" s="5"/>
    </row>
    <row r="365">
      <c r="A365" s="3" t="s">
        <v>220</v>
      </c>
      <c r="B365" s="3" t="s">
        <v>250</v>
      </c>
      <c r="C365" s="3" t="s">
        <v>306</v>
      </c>
      <c r="D365" s="4" t="str">
        <f t="shared" ref="D365:D371" si="33">HYPERLINK("https://12go.asia/en/travel/Phnom-Penh-Transfer/Kep", "12Go Link")</f>
        <v>12Go Link</v>
      </c>
      <c r="E365" s="3" t="s">
        <v>222</v>
      </c>
      <c r="K365" s="5"/>
    </row>
    <row r="366">
      <c r="A366" s="3" t="s">
        <v>220</v>
      </c>
      <c r="B366" s="3" t="s">
        <v>250</v>
      </c>
      <c r="C366" s="3" t="s">
        <v>306</v>
      </c>
      <c r="D366" s="4" t="str">
        <f t="shared" si="33"/>
        <v>12Go Link</v>
      </c>
      <c r="E366" s="3" t="s">
        <v>223</v>
      </c>
      <c r="K366" s="5"/>
    </row>
    <row r="367">
      <c r="A367" s="3" t="s">
        <v>220</v>
      </c>
      <c r="B367" s="3" t="s">
        <v>250</v>
      </c>
      <c r="C367" s="3" t="s">
        <v>306</v>
      </c>
      <c r="D367" s="4" t="str">
        <f t="shared" si="33"/>
        <v>12Go Link</v>
      </c>
      <c r="E367" s="3" t="s">
        <v>224</v>
      </c>
      <c r="K367" s="5"/>
    </row>
    <row r="368">
      <c r="A368" s="3" t="s">
        <v>220</v>
      </c>
      <c r="B368" s="3" t="s">
        <v>250</v>
      </c>
      <c r="C368" s="3" t="s">
        <v>306</v>
      </c>
      <c r="D368" s="4" t="str">
        <f t="shared" si="33"/>
        <v>12Go Link</v>
      </c>
      <c r="E368" s="3" t="s">
        <v>225</v>
      </c>
      <c r="K368" s="5"/>
    </row>
    <row r="369">
      <c r="A369" s="3" t="s">
        <v>220</v>
      </c>
      <c r="B369" s="3" t="s">
        <v>250</v>
      </c>
      <c r="C369" s="3" t="s">
        <v>306</v>
      </c>
      <c r="D369" s="4" t="str">
        <f t="shared" si="33"/>
        <v>12Go Link</v>
      </c>
      <c r="E369" s="3" t="s">
        <v>226</v>
      </c>
      <c r="K369" s="5"/>
    </row>
    <row r="370">
      <c r="A370" s="3" t="s">
        <v>220</v>
      </c>
      <c r="B370" s="3" t="s">
        <v>250</v>
      </c>
      <c r="C370" s="3" t="s">
        <v>306</v>
      </c>
      <c r="D370" s="4" t="str">
        <f t="shared" si="33"/>
        <v>12Go Link</v>
      </c>
      <c r="E370" s="3" t="s">
        <v>227</v>
      </c>
      <c r="K370" s="5"/>
    </row>
    <row r="371">
      <c r="A371" s="3" t="s">
        <v>220</v>
      </c>
      <c r="B371" s="3" t="s">
        <v>250</v>
      </c>
      <c r="C371" s="3" t="s">
        <v>306</v>
      </c>
      <c r="D371" s="4" t="str">
        <f t="shared" si="33"/>
        <v>12Go Link</v>
      </c>
      <c r="E371" s="3" t="s">
        <v>228</v>
      </c>
      <c r="K371" s="5"/>
    </row>
    <row r="372">
      <c r="A372" s="3" t="s">
        <v>220</v>
      </c>
      <c r="B372" s="3" t="s">
        <v>252</v>
      </c>
      <c r="C372" s="3" t="s">
        <v>307</v>
      </c>
      <c r="D372" s="4" t="str">
        <f t="shared" ref="D372:D378" si="34">HYPERLINK("https://12go.asia/en/travel/Phnom-Penh-Transfer/Kien-Svay", "12Go Link")</f>
        <v>12Go Link</v>
      </c>
      <c r="E372" s="3" t="s">
        <v>222</v>
      </c>
      <c r="K372" s="5"/>
    </row>
    <row r="373">
      <c r="A373" s="3" t="s">
        <v>220</v>
      </c>
      <c r="B373" s="3" t="s">
        <v>252</v>
      </c>
      <c r="C373" s="3" t="s">
        <v>307</v>
      </c>
      <c r="D373" s="4" t="str">
        <f t="shared" si="34"/>
        <v>12Go Link</v>
      </c>
      <c r="E373" s="3" t="s">
        <v>223</v>
      </c>
      <c r="K373" s="5"/>
    </row>
    <row r="374">
      <c r="A374" s="3" t="s">
        <v>220</v>
      </c>
      <c r="B374" s="3" t="s">
        <v>252</v>
      </c>
      <c r="C374" s="3" t="s">
        <v>307</v>
      </c>
      <c r="D374" s="4" t="str">
        <f t="shared" si="34"/>
        <v>12Go Link</v>
      </c>
      <c r="E374" s="3" t="s">
        <v>224</v>
      </c>
      <c r="K374" s="5"/>
    </row>
    <row r="375">
      <c r="A375" s="3" t="s">
        <v>220</v>
      </c>
      <c r="B375" s="3" t="s">
        <v>252</v>
      </c>
      <c r="C375" s="3" t="s">
        <v>307</v>
      </c>
      <c r="D375" s="4" t="str">
        <f t="shared" si="34"/>
        <v>12Go Link</v>
      </c>
      <c r="E375" s="3" t="s">
        <v>225</v>
      </c>
      <c r="K375" s="5"/>
    </row>
    <row r="376">
      <c r="A376" s="3" t="s">
        <v>220</v>
      </c>
      <c r="B376" s="3" t="s">
        <v>252</v>
      </c>
      <c r="C376" s="3" t="s">
        <v>307</v>
      </c>
      <c r="D376" s="4" t="str">
        <f t="shared" si="34"/>
        <v>12Go Link</v>
      </c>
      <c r="E376" s="3" t="s">
        <v>226</v>
      </c>
      <c r="K376" s="5"/>
    </row>
    <row r="377">
      <c r="A377" s="3" t="s">
        <v>220</v>
      </c>
      <c r="B377" s="3" t="s">
        <v>252</v>
      </c>
      <c r="C377" s="3" t="s">
        <v>307</v>
      </c>
      <c r="D377" s="4" t="str">
        <f t="shared" si="34"/>
        <v>12Go Link</v>
      </c>
      <c r="E377" s="3" t="s">
        <v>227</v>
      </c>
      <c r="K377" s="5"/>
    </row>
    <row r="378">
      <c r="A378" s="3" t="s">
        <v>220</v>
      </c>
      <c r="B378" s="3" t="s">
        <v>252</v>
      </c>
      <c r="C378" s="3" t="s">
        <v>307</v>
      </c>
      <c r="D378" s="4" t="str">
        <f t="shared" si="34"/>
        <v>12Go Link</v>
      </c>
      <c r="E378" s="3" t="s">
        <v>228</v>
      </c>
      <c r="K378" s="5"/>
    </row>
    <row r="379">
      <c r="A379" s="3" t="s">
        <v>220</v>
      </c>
      <c r="B379" s="3" t="s">
        <v>265</v>
      </c>
      <c r="C379" s="3" t="s">
        <v>308</v>
      </c>
      <c r="D379" s="4" t="str">
        <f t="shared" ref="D379:D385" si="35">HYPERLINK("https://12go.asia/en/travel/Phnom-Penh-Transfer/Koh-Kong", "12Go Link")</f>
        <v>12Go Link</v>
      </c>
      <c r="E379" s="3" t="s">
        <v>222</v>
      </c>
      <c r="K379" s="5"/>
    </row>
    <row r="380">
      <c r="A380" s="3" t="s">
        <v>220</v>
      </c>
      <c r="B380" s="3" t="s">
        <v>265</v>
      </c>
      <c r="C380" s="3" t="s">
        <v>308</v>
      </c>
      <c r="D380" s="4" t="str">
        <f t="shared" si="35"/>
        <v>12Go Link</v>
      </c>
      <c r="E380" s="3" t="s">
        <v>223</v>
      </c>
      <c r="K380" s="5"/>
    </row>
    <row r="381">
      <c r="A381" s="3" t="s">
        <v>220</v>
      </c>
      <c r="B381" s="3" t="s">
        <v>265</v>
      </c>
      <c r="C381" s="3" t="s">
        <v>308</v>
      </c>
      <c r="D381" s="4" t="str">
        <f t="shared" si="35"/>
        <v>12Go Link</v>
      </c>
      <c r="E381" s="3" t="s">
        <v>224</v>
      </c>
      <c r="K381" s="5"/>
    </row>
    <row r="382">
      <c r="A382" s="3" t="s">
        <v>220</v>
      </c>
      <c r="B382" s="3" t="s">
        <v>265</v>
      </c>
      <c r="C382" s="3" t="s">
        <v>308</v>
      </c>
      <c r="D382" s="4" t="str">
        <f t="shared" si="35"/>
        <v>12Go Link</v>
      </c>
      <c r="E382" s="3" t="s">
        <v>225</v>
      </c>
      <c r="K382" s="5"/>
    </row>
    <row r="383">
      <c r="A383" s="3" t="s">
        <v>220</v>
      </c>
      <c r="B383" s="3" t="s">
        <v>265</v>
      </c>
      <c r="C383" s="3" t="s">
        <v>308</v>
      </c>
      <c r="D383" s="4" t="str">
        <f t="shared" si="35"/>
        <v>12Go Link</v>
      </c>
      <c r="E383" s="3" t="s">
        <v>226</v>
      </c>
      <c r="K383" s="5"/>
    </row>
    <row r="384">
      <c r="A384" s="3" t="s">
        <v>220</v>
      </c>
      <c r="B384" s="3" t="s">
        <v>265</v>
      </c>
      <c r="C384" s="3" t="s">
        <v>308</v>
      </c>
      <c r="D384" s="4" t="str">
        <f t="shared" si="35"/>
        <v>12Go Link</v>
      </c>
      <c r="E384" s="3" t="s">
        <v>227</v>
      </c>
      <c r="K384" s="5"/>
    </row>
    <row r="385">
      <c r="A385" s="3" t="s">
        <v>220</v>
      </c>
      <c r="B385" s="3" t="s">
        <v>265</v>
      </c>
      <c r="C385" s="3" t="s">
        <v>308</v>
      </c>
      <c r="D385" s="4" t="str">
        <f t="shared" si="35"/>
        <v>12Go Link</v>
      </c>
      <c r="E385" s="3" t="s">
        <v>228</v>
      </c>
      <c r="K385" s="5"/>
    </row>
    <row r="386">
      <c r="A386" s="3" t="s">
        <v>220</v>
      </c>
      <c r="B386" s="3" t="s">
        <v>288</v>
      </c>
      <c r="C386" s="3" t="s">
        <v>309</v>
      </c>
      <c r="D386" s="4" t="str">
        <f t="shared" ref="D386:D392" si="36">HYPERLINK("https://12go.asia/en/travel/Phnom-Penh-Transfer/Kratie", "12Go Link")</f>
        <v>12Go Link</v>
      </c>
      <c r="E386" s="3" t="s">
        <v>222</v>
      </c>
      <c r="K386" s="5"/>
    </row>
    <row r="387">
      <c r="A387" s="3" t="s">
        <v>220</v>
      </c>
      <c r="B387" s="3" t="s">
        <v>288</v>
      </c>
      <c r="C387" s="3" t="s">
        <v>309</v>
      </c>
      <c r="D387" s="4" t="str">
        <f t="shared" si="36"/>
        <v>12Go Link</v>
      </c>
      <c r="E387" s="3" t="s">
        <v>223</v>
      </c>
      <c r="K387" s="5"/>
    </row>
    <row r="388">
      <c r="A388" s="3" t="s">
        <v>220</v>
      </c>
      <c r="B388" s="3" t="s">
        <v>288</v>
      </c>
      <c r="C388" s="3" t="s">
        <v>309</v>
      </c>
      <c r="D388" s="4" t="str">
        <f t="shared" si="36"/>
        <v>12Go Link</v>
      </c>
      <c r="E388" s="3" t="s">
        <v>224</v>
      </c>
      <c r="K388" s="5"/>
    </row>
    <row r="389">
      <c r="A389" s="3" t="s">
        <v>220</v>
      </c>
      <c r="B389" s="3" t="s">
        <v>288</v>
      </c>
      <c r="C389" s="3" t="s">
        <v>309</v>
      </c>
      <c r="D389" s="4" t="str">
        <f t="shared" si="36"/>
        <v>12Go Link</v>
      </c>
      <c r="E389" s="3" t="s">
        <v>225</v>
      </c>
      <c r="K389" s="5"/>
    </row>
    <row r="390">
      <c r="A390" s="3" t="s">
        <v>220</v>
      </c>
      <c r="B390" s="3" t="s">
        <v>288</v>
      </c>
      <c r="C390" s="3" t="s">
        <v>309</v>
      </c>
      <c r="D390" s="4" t="str">
        <f t="shared" si="36"/>
        <v>12Go Link</v>
      </c>
      <c r="E390" s="3" t="s">
        <v>226</v>
      </c>
      <c r="K390" s="5"/>
    </row>
    <row r="391">
      <c r="A391" s="3" t="s">
        <v>220</v>
      </c>
      <c r="B391" s="3" t="s">
        <v>288</v>
      </c>
      <c r="C391" s="3" t="s">
        <v>309</v>
      </c>
      <c r="D391" s="4" t="str">
        <f t="shared" si="36"/>
        <v>12Go Link</v>
      </c>
      <c r="E391" s="3" t="s">
        <v>227</v>
      </c>
      <c r="K391" s="5"/>
    </row>
    <row r="392">
      <c r="A392" s="3" t="s">
        <v>220</v>
      </c>
      <c r="B392" s="3" t="s">
        <v>288</v>
      </c>
      <c r="C392" s="3" t="s">
        <v>309</v>
      </c>
      <c r="D392" s="4" t="str">
        <f t="shared" si="36"/>
        <v>12Go Link</v>
      </c>
      <c r="E392" s="3" t="s">
        <v>228</v>
      </c>
      <c r="K392" s="5"/>
    </row>
    <row r="393">
      <c r="A393" s="3" t="s">
        <v>220</v>
      </c>
      <c r="B393" s="3" t="s">
        <v>269</v>
      </c>
      <c r="C393" s="3" t="s">
        <v>310</v>
      </c>
      <c r="D393" s="4" t="str">
        <f t="shared" ref="D393:D399" si="37">HYPERLINK("https://12go.asia/en/travel/Phnom-Penh-Transfer/Mondulkiri", "12Go Link")</f>
        <v>12Go Link</v>
      </c>
      <c r="E393" s="3" t="s">
        <v>222</v>
      </c>
      <c r="K393" s="5"/>
    </row>
    <row r="394">
      <c r="A394" s="3" t="s">
        <v>220</v>
      </c>
      <c r="B394" s="3" t="s">
        <v>269</v>
      </c>
      <c r="C394" s="3" t="s">
        <v>310</v>
      </c>
      <c r="D394" s="4" t="str">
        <f t="shared" si="37"/>
        <v>12Go Link</v>
      </c>
      <c r="E394" s="3" t="s">
        <v>223</v>
      </c>
      <c r="K394" s="5"/>
    </row>
    <row r="395">
      <c r="A395" s="3" t="s">
        <v>220</v>
      </c>
      <c r="B395" s="3" t="s">
        <v>269</v>
      </c>
      <c r="C395" s="3" t="s">
        <v>310</v>
      </c>
      <c r="D395" s="4" t="str">
        <f t="shared" si="37"/>
        <v>12Go Link</v>
      </c>
      <c r="E395" s="3" t="s">
        <v>224</v>
      </c>
      <c r="K395" s="5"/>
    </row>
    <row r="396">
      <c r="A396" s="3" t="s">
        <v>220</v>
      </c>
      <c r="B396" s="3" t="s">
        <v>269</v>
      </c>
      <c r="C396" s="3" t="s">
        <v>310</v>
      </c>
      <c r="D396" s="4" t="str">
        <f t="shared" si="37"/>
        <v>12Go Link</v>
      </c>
      <c r="E396" s="3" t="s">
        <v>225</v>
      </c>
      <c r="K396" s="5"/>
    </row>
    <row r="397">
      <c r="A397" s="3" t="s">
        <v>220</v>
      </c>
      <c r="B397" s="3" t="s">
        <v>269</v>
      </c>
      <c r="C397" s="3" t="s">
        <v>310</v>
      </c>
      <c r="D397" s="4" t="str">
        <f t="shared" si="37"/>
        <v>12Go Link</v>
      </c>
      <c r="E397" s="3" t="s">
        <v>226</v>
      </c>
      <c r="K397" s="5"/>
    </row>
    <row r="398">
      <c r="A398" s="3" t="s">
        <v>220</v>
      </c>
      <c r="B398" s="3" t="s">
        <v>269</v>
      </c>
      <c r="C398" s="3" t="s">
        <v>310</v>
      </c>
      <c r="D398" s="4" t="str">
        <f t="shared" si="37"/>
        <v>12Go Link</v>
      </c>
      <c r="E398" s="3" t="s">
        <v>227</v>
      </c>
      <c r="K398" s="5"/>
    </row>
    <row r="399">
      <c r="A399" s="3" t="s">
        <v>220</v>
      </c>
      <c r="B399" s="3" t="s">
        <v>269</v>
      </c>
      <c r="C399" s="3" t="s">
        <v>310</v>
      </c>
      <c r="D399" s="4" t="str">
        <f t="shared" si="37"/>
        <v>12Go Link</v>
      </c>
      <c r="E399" s="3" t="s">
        <v>228</v>
      </c>
      <c r="K399" s="5"/>
    </row>
    <row r="400">
      <c r="A400" s="3" t="s">
        <v>220</v>
      </c>
      <c r="B400" s="3" t="s">
        <v>291</v>
      </c>
      <c r="C400" s="3" t="s">
        <v>311</v>
      </c>
      <c r="D400" s="4" t="str">
        <f t="shared" ref="D400:D406" si="38">HYPERLINK("https://12go.asia/en/travel/Phnom-Penh-Transfer/Oudong", "12Go Link")</f>
        <v>12Go Link</v>
      </c>
      <c r="E400" s="3" t="s">
        <v>222</v>
      </c>
      <c r="K400" s="5"/>
    </row>
    <row r="401">
      <c r="A401" s="3" t="s">
        <v>220</v>
      </c>
      <c r="B401" s="3" t="s">
        <v>291</v>
      </c>
      <c r="C401" s="3" t="s">
        <v>311</v>
      </c>
      <c r="D401" s="4" t="str">
        <f t="shared" si="38"/>
        <v>12Go Link</v>
      </c>
      <c r="E401" s="3" t="s">
        <v>223</v>
      </c>
      <c r="K401" s="5"/>
    </row>
    <row r="402">
      <c r="A402" s="3" t="s">
        <v>220</v>
      </c>
      <c r="B402" s="3" t="s">
        <v>291</v>
      </c>
      <c r="C402" s="3" t="s">
        <v>311</v>
      </c>
      <c r="D402" s="4" t="str">
        <f t="shared" si="38"/>
        <v>12Go Link</v>
      </c>
      <c r="E402" s="3" t="s">
        <v>224</v>
      </c>
      <c r="K402" s="5"/>
    </row>
    <row r="403">
      <c r="A403" s="3" t="s">
        <v>220</v>
      </c>
      <c r="B403" s="3" t="s">
        <v>291</v>
      </c>
      <c r="C403" s="3" t="s">
        <v>311</v>
      </c>
      <c r="D403" s="4" t="str">
        <f t="shared" si="38"/>
        <v>12Go Link</v>
      </c>
      <c r="E403" s="3" t="s">
        <v>225</v>
      </c>
      <c r="K403" s="5"/>
    </row>
    <row r="404">
      <c r="A404" s="3" t="s">
        <v>220</v>
      </c>
      <c r="B404" s="3" t="s">
        <v>291</v>
      </c>
      <c r="C404" s="3" t="s">
        <v>311</v>
      </c>
      <c r="D404" s="4" t="str">
        <f t="shared" si="38"/>
        <v>12Go Link</v>
      </c>
      <c r="E404" s="3" t="s">
        <v>226</v>
      </c>
      <c r="K404" s="5"/>
    </row>
    <row r="405">
      <c r="A405" s="3" t="s">
        <v>220</v>
      </c>
      <c r="B405" s="3" t="s">
        <v>291</v>
      </c>
      <c r="C405" s="3" t="s">
        <v>311</v>
      </c>
      <c r="D405" s="4" t="str">
        <f t="shared" si="38"/>
        <v>12Go Link</v>
      </c>
      <c r="E405" s="3" t="s">
        <v>227</v>
      </c>
      <c r="K405" s="5"/>
    </row>
    <row r="406">
      <c r="A406" s="3" t="s">
        <v>220</v>
      </c>
      <c r="B406" s="3" t="s">
        <v>291</v>
      </c>
      <c r="C406" s="3" t="s">
        <v>311</v>
      </c>
      <c r="D406" s="4" t="str">
        <f t="shared" si="38"/>
        <v>12Go Link</v>
      </c>
      <c r="E406" s="3" t="s">
        <v>228</v>
      </c>
      <c r="K406" s="5"/>
    </row>
    <row r="407">
      <c r="A407" s="3" t="s">
        <v>220</v>
      </c>
      <c r="B407" s="3" t="s">
        <v>271</v>
      </c>
      <c r="C407" s="3" t="s">
        <v>312</v>
      </c>
      <c r="D407" s="4" t="str">
        <f t="shared" ref="D407:D413" si="39">HYPERLINK("https://12go.asia/en/travel/Phnom-Penh-Transfer/Pailin", "12Go Link")</f>
        <v>12Go Link</v>
      </c>
      <c r="E407" s="3" t="s">
        <v>222</v>
      </c>
      <c r="K407" s="5"/>
    </row>
    <row r="408">
      <c r="A408" s="3" t="s">
        <v>220</v>
      </c>
      <c r="B408" s="3" t="s">
        <v>271</v>
      </c>
      <c r="C408" s="3" t="s">
        <v>312</v>
      </c>
      <c r="D408" s="4" t="str">
        <f t="shared" si="39"/>
        <v>12Go Link</v>
      </c>
      <c r="E408" s="3" t="s">
        <v>223</v>
      </c>
      <c r="K408" s="5"/>
    </row>
    <row r="409">
      <c r="A409" s="3" t="s">
        <v>220</v>
      </c>
      <c r="B409" s="3" t="s">
        <v>271</v>
      </c>
      <c r="C409" s="3" t="s">
        <v>312</v>
      </c>
      <c r="D409" s="4" t="str">
        <f t="shared" si="39"/>
        <v>12Go Link</v>
      </c>
      <c r="E409" s="3" t="s">
        <v>224</v>
      </c>
      <c r="K409" s="5"/>
    </row>
    <row r="410">
      <c r="A410" s="3" t="s">
        <v>220</v>
      </c>
      <c r="B410" s="3" t="s">
        <v>271</v>
      </c>
      <c r="C410" s="3" t="s">
        <v>312</v>
      </c>
      <c r="D410" s="4" t="str">
        <f t="shared" si="39"/>
        <v>12Go Link</v>
      </c>
      <c r="E410" s="3" t="s">
        <v>225</v>
      </c>
      <c r="K410" s="5"/>
    </row>
    <row r="411">
      <c r="A411" s="3" t="s">
        <v>220</v>
      </c>
      <c r="B411" s="3" t="s">
        <v>271</v>
      </c>
      <c r="C411" s="3" t="s">
        <v>312</v>
      </c>
      <c r="D411" s="4" t="str">
        <f t="shared" si="39"/>
        <v>12Go Link</v>
      </c>
      <c r="E411" s="3" t="s">
        <v>226</v>
      </c>
      <c r="K411" s="5"/>
    </row>
    <row r="412">
      <c r="A412" s="3" t="s">
        <v>220</v>
      </c>
      <c r="B412" s="3" t="s">
        <v>271</v>
      </c>
      <c r="C412" s="3" t="s">
        <v>312</v>
      </c>
      <c r="D412" s="4" t="str">
        <f t="shared" si="39"/>
        <v>12Go Link</v>
      </c>
      <c r="E412" s="3" t="s">
        <v>227</v>
      </c>
      <c r="K412" s="5"/>
    </row>
    <row r="413">
      <c r="A413" s="3" t="s">
        <v>220</v>
      </c>
      <c r="B413" s="3" t="s">
        <v>271</v>
      </c>
      <c r="C413" s="3" t="s">
        <v>312</v>
      </c>
      <c r="D413" s="4" t="str">
        <f t="shared" si="39"/>
        <v>12Go Link</v>
      </c>
      <c r="E413" s="3" t="s">
        <v>228</v>
      </c>
      <c r="K413" s="5"/>
    </row>
    <row r="414">
      <c r="A414" s="3" t="s">
        <v>220</v>
      </c>
      <c r="B414" s="3" t="s">
        <v>220</v>
      </c>
      <c r="C414" s="3" t="s">
        <v>313</v>
      </c>
      <c r="D414" s="4" t="str">
        <f t="shared" ref="D414:D418" si="40">HYPERLINK("https://12go.asia/en/travel/Phnom-Penh-Airport/Phnom-Penh-Transfer", "12Go Link")</f>
        <v>12Go Link</v>
      </c>
      <c r="E414" s="3" t="s">
        <v>224</v>
      </c>
      <c r="K414" s="5"/>
    </row>
    <row r="415">
      <c r="A415" s="3" t="s">
        <v>220</v>
      </c>
      <c r="B415" s="3" t="s">
        <v>220</v>
      </c>
      <c r="C415" s="3" t="s">
        <v>313</v>
      </c>
      <c r="D415" s="4" t="str">
        <f t="shared" si="40"/>
        <v>12Go Link</v>
      </c>
      <c r="E415" s="3" t="s">
        <v>225</v>
      </c>
      <c r="K415" s="5"/>
    </row>
    <row r="416">
      <c r="A416" s="3" t="s">
        <v>220</v>
      </c>
      <c r="B416" s="3" t="s">
        <v>220</v>
      </c>
      <c r="C416" s="3" t="s">
        <v>313</v>
      </c>
      <c r="D416" s="4" t="str">
        <f t="shared" si="40"/>
        <v>12Go Link</v>
      </c>
      <c r="E416" s="3" t="s">
        <v>226</v>
      </c>
      <c r="K416" s="5"/>
    </row>
    <row r="417">
      <c r="A417" s="3" t="s">
        <v>220</v>
      </c>
      <c r="B417" s="3" t="s">
        <v>220</v>
      </c>
      <c r="C417" s="3" t="s">
        <v>313</v>
      </c>
      <c r="D417" s="4" t="str">
        <f t="shared" si="40"/>
        <v>12Go Link</v>
      </c>
      <c r="E417" s="3" t="s">
        <v>227</v>
      </c>
      <c r="K417" s="5"/>
    </row>
    <row r="418">
      <c r="A418" s="3" t="s">
        <v>220</v>
      </c>
      <c r="B418" s="3" t="s">
        <v>220</v>
      </c>
      <c r="C418" s="3" t="s">
        <v>313</v>
      </c>
      <c r="D418" s="4" t="str">
        <f t="shared" si="40"/>
        <v>12Go Link</v>
      </c>
      <c r="E418" s="3" t="s">
        <v>228</v>
      </c>
      <c r="K418" s="5"/>
    </row>
    <row r="419">
      <c r="A419" s="3" t="s">
        <v>220</v>
      </c>
      <c r="B419" s="3" t="s">
        <v>220</v>
      </c>
      <c r="C419" s="3" t="s">
        <v>314</v>
      </c>
      <c r="D419" s="4" t="str">
        <f t="shared" ref="D419:D423" si="41">HYPERLINK("https://12go.asia/en/travel/Phnom-Penh-Transfer/Phnom-Penh-Airport", "12Go Link")</f>
        <v>12Go Link</v>
      </c>
      <c r="E419" s="3" t="s">
        <v>224</v>
      </c>
      <c r="K419" s="5"/>
    </row>
    <row r="420">
      <c r="A420" s="3" t="s">
        <v>220</v>
      </c>
      <c r="B420" s="3" t="s">
        <v>220</v>
      </c>
      <c r="C420" s="3" t="s">
        <v>314</v>
      </c>
      <c r="D420" s="4" t="str">
        <f t="shared" si="41"/>
        <v>12Go Link</v>
      </c>
      <c r="E420" s="3" t="s">
        <v>225</v>
      </c>
      <c r="K420" s="5"/>
    </row>
    <row r="421">
      <c r="A421" s="3" t="s">
        <v>220</v>
      </c>
      <c r="B421" s="3" t="s">
        <v>220</v>
      </c>
      <c r="C421" s="3" t="s">
        <v>314</v>
      </c>
      <c r="D421" s="4" t="str">
        <f t="shared" si="41"/>
        <v>12Go Link</v>
      </c>
      <c r="E421" s="3" t="s">
        <v>226</v>
      </c>
      <c r="K421" s="5"/>
    </row>
    <row r="422">
      <c r="A422" s="3" t="s">
        <v>220</v>
      </c>
      <c r="B422" s="3" t="s">
        <v>220</v>
      </c>
      <c r="C422" s="3" t="s">
        <v>314</v>
      </c>
      <c r="D422" s="4" t="str">
        <f t="shared" si="41"/>
        <v>12Go Link</v>
      </c>
      <c r="E422" s="3" t="s">
        <v>227</v>
      </c>
      <c r="K422" s="5"/>
    </row>
    <row r="423">
      <c r="A423" s="3" t="s">
        <v>220</v>
      </c>
      <c r="B423" s="3" t="s">
        <v>220</v>
      </c>
      <c r="C423" s="3" t="s">
        <v>314</v>
      </c>
      <c r="D423" s="4" t="str">
        <f t="shared" si="41"/>
        <v>12Go Link</v>
      </c>
      <c r="E423" s="3" t="s">
        <v>228</v>
      </c>
      <c r="K423" s="5"/>
    </row>
    <row r="424">
      <c r="A424" s="3" t="s">
        <v>220</v>
      </c>
      <c r="B424" s="3" t="s">
        <v>274</v>
      </c>
      <c r="C424" s="3" t="s">
        <v>315</v>
      </c>
      <c r="D424" s="4" t="str">
        <f>HYPERLINK("https://12go.asia/en/travel/Sarah-Transport-Phnom-Penh/Sarah-Transport-Poipet", "12Go Link")</f>
        <v>12Go Link</v>
      </c>
      <c r="E424" s="3" t="s">
        <v>316</v>
      </c>
      <c r="K424" s="5"/>
    </row>
    <row r="425">
      <c r="A425" s="3" t="s">
        <v>220</v>
      </c>
      <c r="B425" s="3" t="s">
        <v>317</v>
      </c>
      <c r="C425" s="3" t="s">
        <v>318</v>
      </c>
      <c r="D425" s="4" t="str">
        <f t="shared" ref="D425:D431" si="42">HYPERLINK("https://12go.asia/en/travel/Phnom-Penh-Transfer/Preah-Vihear", "12Go Link")</f>
        <v>12Go Link</v>
      </c>
      <c r="E425" s="3" t="s">
        <v>222</v>
      </c>
      <c r="K425" s="5"/>
    </row>
    <row r="426">
      <c r="A426" s="3" t="s">
        <v>220</v>
      </c>
      <c r="B426" s="3" t="s">
        <v>317</v>
      </c>
      <c r="C426" s="3" t="s">
        <v>318</v>
      </c>
      <c r="D426" s="4" t="str">
        <f t="shared" si="42"/>
        <v>12Go Link</v>
      </c>
      <c r="E426" s="3" t="s">
        <v>223</v>
      </c>
      <c r="K426" s="5"/>
    </row>
    <row r="427">
      <c r="A427" s="3" t="s">
        <v>220</v>
      </c>
      <c r="B427" s="3" t="s">
        <v>317</v>
      </c>
      <c r="C427" s="3" t="s">
        <v>318</v>
      </c>
      <c r="D427" s="4" t="str">
        <f t="shared" si="42"/>
        <v>12Go Link</v>
      </c>
      <c r="E427" s="3" t="s">
        <v>224</v>
      </c>
      <c r="K427" s="5"/>
    </row>
    <row r="428">
      <c r="A428" s="3" t="s">
        <v>220</v>
      </c>
      <c r="B428" s="3" t="s">
        <v>317</v>
      </c>
      <c r="C428" s="3" t="s">
        <v>318</v>
      </c>
      <c r="D428" s="4" t="str">
        <f t="shared" si="42"/>
        <v>12Go Link</v>
      </c>
      <c r="E428" s="3" t="s">
        <v>225</v>
      </c>
      <c r="K428" s="5"/>
    </row>
    <row r="429">
      <c r="A429" s="3" t="s">
        <v>220</v>
      </c>
      <c r="B429" s="3" t="s">
        <v>317</v>
      </c>
      <c r="C429" s="3" t="s">
        <v>318</v>
      </c>
      <c r="D429" s="4" t="str">
        <f t="shared" si="42"/>
        <v>12Go Link</v>
      </c>
      <c r="E429" s="3" t="s">
        <v>226</v>
      </c>
      <c r="K429" s="5"/>
    </row>
    <row r="430">
      <c r="A430" s="3" t="s">
        <v>220</v>
      </c>
      <c r="B430" s="3" t="s">
        <v>317</v>
      </c>
      <c r="C430" s="3" t="s">
        <v>318</v>
      </c>
      <c r="D430" s="4" t="str">
        <f t="shared" si="42"/>
        <v>12Go Link</v>
      </c>
      <c r="E430" s="3" t="s">
        <v>227</v>
      </c>
      <c r="K430" s="5"/>
    </row>
    <row r="431">
      <c r="A431" s="3" t="s">
        <v>220</v>
      </c>
      <c r="B431" s="3" t="s">
        <v>317</v>
      </c>
      <c r="C431" s="3" t="s">
        <v>318</v>
      </c>
      <c r="D431" s="4" t="str">
        <f t="shared" si="42"/>
        <v>12Go Link</v>
      </c>
      <c r="E431" s="3" t="s">
        <v>228</v>
      </c>
      <c r="K431" s="5"/>
    </row>
    <row r="432">
      <c r="A432" s="3" t="s">
        <v>220</v>
      </c>
      <c r="B432" s="3" t="s">
        <v>319</v>
      </c>
      <c r="C432" s="3" t="s">
        <v>320</v>
      </c>
      <c r="D432" s="4" t="str">
        <f t="shared" ref="D432:D438" si="43">HYPERLINK("https://12go.asia/en/travel/Phnom-Penh-Transfer/Prey-Veng", "12Go Link")</f>
        <v>12Go Link</v>
      </c>
      <c r="E432" s="3" t="s">
        <v>222</v>
      </c>
      <c r="K432" s="5"/>
    </row>
    <row r="433">
      <c r="A433" s="3" t="s">
        <v>220</v>
      </c>
      <c r="B433" s="3" t="s">
        <v>319</v>
      </c>
      <c r="C433" s="3" t="s">
        <v>320</v>
      </c>
      <c r="D433" s="4" t="str">
        <f t="shared" si="43"/>
        <v>12Go Link</v>
      </c>
      <c r="E433" s="3" t="s">
        <v>223</v>
      </c>
      <c r="K433" s="5"/>
    </row>
    <row r="434">
      <c r="A434" s="3" t="s">
        <v>220</v>
      </c>
      <c r="B434" s="3" t="s">
        <v>319</v>
      </c>
      <c r="C434" s="3" t="s">
        <v>320</v>
      </c>
      <c r="D434" s="4" t="str">
        <f t="shared" si="43"/>
        <v>12Go Link</v>
      </c>
      <c r="E434" s="3" t="s">
        <v>224</v>
      </c>
      <c r="K434" s="5"/>
    </row>
    <row r="435">
      <c r="A435" s="3" t="s">
        <v>220</v>
      </c>
      <c r="B435" s="3" t="s">
        <v>319</v>
      </c>
      <c r="C435" s="3" t="s">
        <v>320</v>
      </c>
      <c r="D435" s="4" t="str">
        <f t="shared" si="43"/>
        <v>12Go Link</v>
      </c>
      <c r="E435" s="3" t="s">
        <v>225</v>
      </c>
      <c r="K435" s="5"/>
    </row>
    <row r="436">
      <c r="A436" s="3" t="s">
        <v>220</v>
      </c>
      <c r="B436" s="3" t="s">
        <v>319</v>
      </c>
      <c r="C436" s="3" t="s">
        <v>320</v>
      </c>
      <c r="D436" s="4" t="str">
        <f t="shared" si="43"/>
        <v>12Go Link</v>
      </c>
      <c r="E436" s="3" t="s">
        <v>226</v>
      </c>
      <c r="K436" s="5"/>
    </row>
    <row r="437">
      <c r="A437" s="3" t="s">
        <v>220</v>
      </c>
      <c r="B437" s="3" t="s">
        <v>319</v>
      </c>
      <c r="C437" s="3" t="s">
        <v>320</v>
      </c>
      <c r="D437" s="4" t="str">
        <f t="shared" si="43"/>
        <v>12Go Link</v>
      </c>
      <c r="E437" s="3" t="s">
        <v>227</v>
      </c>
      <c r="K437" s="5"/>
    </row>
    <row r="438">
      <c r="A438" s="3" t="s">
        <v>220</v>
      </c>
      <c r="B438" s="3" t="s">
        <v>319</v>
      </c>
      <c r="C438" s="3" t="s">
        <v>320</v>
      </c>
      <c r="D438" s="4" t="str">
        <f t="shared" si="43"/>
        <v>12Go Link</v>
      </c>
      <c r="E438" s="3" t="s">
        <v>228</v>
      </c>
      <c r="K438" s="5"/>
    </row>
    <row r="439">
      <c r="A439" s="3" t="s">
        <v>220</v>
      </c>
      <c r="B439" s="3" t="s">
        <v>321</v>
      </c>
      <c r="C439" s="3" t="s">
        <v>322</v>
      </c>
      <c r="D439" s="4" t="str">
        <f t="shared" ref="D439:D445" si="44">HYPERLINK("https://12go.asia/en/travel/Phnom-Penh-Transfer/Pursat", "12Go Link")</f>
        <v>12Go Link</v>
      </c>
      <c r="E439" s="3" t="s">
        <v>222</v>
      </c>
      <c r="K439" s="5"/>
    </row>
    <row r="440">
      <c r="A440" s="3" t="s">
        <v>220</v>
      </c>
      <c r="B440" s="3" t="s">
        <v>321</v>
      </c>
      <c r="C440" s="3" t="s">
        <v>322</v>
      </c>
      <c r="D440" s="4" t="str">
        <f t="shared" si="44"/>
        <v>12Go Link</v>
      </c>
      <c r="E440" s="3" t="s">
        <v>223</v>
      </c>
      <c r="K440" s="5"/>
    </row>
    <row r="441">
      <c r="A441" s="3" t="s">
        <v>220</v>
      </c>
      <c r="B441" s="3" t="s">
        <v>321</v>
      </c>
      <c r="C441" s="3" t="s">
        <v>322</v>
      </c>
      <c r="D441" s="4" t="str">
        <f t="shared" si="44"/>
        <v>12Go Link</v>
      </c>
      <c r="E441" s="3" t="s">
        <v>224</v>
      </c>
      <c r="K441" s="5"/>
    </row>
    <row r="442">
      <c r="A442" s="3" t="s">
        <v>220</v>
      </c>
      <c r="B442" s="3" t="s">
        <v>321</v>
      </c>
      <c r="C442" s="3" t="s">
        <v>322</v>
      </c>
      <c r="D442" s="4" t="str">
        <f t="shared" si="44"/>
        <v>12Go Link</v>
      </c>
      <c r="E442" s="3" t="s">
        <v>225</v>
      </c>
      <c r="K442" s="5"/>
    </row>
    <row r="443">
      <c r="A443" s="3" t="s">
        <v>220</v>
      </c>
      <c r="B443" s="3" t="s">
        <v>321</v>
      </c>
      <c r="C443" s="3" t="s">
        <v>322</v>
      </c>
      <c r="D443" s="4" t="str">
        <f t="shared" si="44"/>
        <v>12Go Link</v>
      </c>
      <c r="E443" s="3" t="s">
        <v>226</v>
      </c>
      <c r="K443" s="5"/>
    </row>
    <row r="444">
      <c r="A444" s="3" t="s">
        <v>220</v>
      </c>
      <c r="B444" s="3" t="s">
        <v>321</v>
      </c>
      <c r="C444" s="3" t="s">
        <v>322</v>
      </c>
      <c r="D444" s="4" t="str">
        <f t="shared" si="44"/>
        <v>12Go Link</v>
      </c>
      <c r="E444" s="3" t="s">
        <v>227</v>
      </c>
      <c r="K444" s="5"/>
    </row>
    <row r="445">
      <c r="A445" s="3" t="s">
        <v>220</v>
      </c>
      <c r="B445" s="3" t="s">
        <v>321</v>
      </c>
      <c r="C445" s="3" t="s">
        <v>322</v>
      </c>
      <c r="D445" s="4" t="str">
        <f t="shared" si="44"/>
        <v>12Go Link</v>
      </c>
      <c r="E445" s="3" t="s">
        <v>228</v>
      </c>
      <c r="K445" s="5"/>
    </row>
    <row r="446">
      <c r="A446" s="3" t="s">
        <v>220</v>
      </c>
      <c r="B446" s="3" t="s">
        <v>323</v>
      </c>
      <c r="C446" s="3" t="s">
        <v>324</v>
      </c>
      <c r="D446" s="4" t="str">
        <f t="shared" ref="D446:D452" si="45">HYPERLINK("https://12go.asia/en/travel/Phnom-Penh-Transfer/Rattanakiri", "12Go Link")</f>
        <v>12Go Link</v>
      </c>
      <c r="E446" s="3" t="s">
        <v>222</v>
      </c>
      <c r="K446" s="5"/>
    </row>
    <row r="447">
      <c r="A447" s="3" t="s">
        <v>220</v>
      </c>
      <c r="B447" s="3" t="s">
        <v>323</v>
      </c>
      <c r="C447" s="3" t="s">
        <v>324</v>
      </c>
      <c r="D447" s="4" t="str">
        <f t="shared" si="45"/>
        <v>12Go Link</v>
      </c>
      <c r="E447" s="3" t="s">
        <v>223</v>
      </c>
      <c r="K447" s="5"/>
    </row>
    <row r="448">
      <c r="A448" s="3" t="s">
        <v>220</v>
      </c>
      <c r="B448" s="3" t="s">
        <v>323</v>
      </c>
      <c r="C448" s="3" t="s">
        <v>324</v>
      </c>
      <c r="D448" s="4" t="str">
        <f t="shared" si="45"/>
        <v>12Go Link</v>
      </c>
      <c r="E448" s="3" t="s">
        <v>224</v>
      </c>
      <c r="K448" s="5"/>
    </row>
    <row r="449">
      <c r="A449" s="3" t="s">
        <v>220</v>
      </c>
      <c r="B449" s="3" t="s">
        <v>323</v>
      </c>
      <c r="C449" s="3" t="s">
        <v>324</v>
      </c>
      <c r="D449" s="4" t="str">
        <f t="shared" si="45"/>
        <v>12Go Link</v>
      </c>
      <c r="E449" s="3" t="s">
        <v>225</v>
      </c>
      <c r="K449" s="5"/>
    </row>
    <row r="450">
      <c r="A450" s="3" t="s">
        <v>220</v>
      </c>
      <c r="B450" s="3" t="s">
        <v>323</v>
      </c>
      <c r="C450" s="3" t="s">
        <v>324</v>
      </c>
      <c r="D450" s="4" t="str">
        <f t="shared" si="45"/>
        <v>12Go Link</v>
      </c>
      <c r="E450" s="3" t="s">
        <v>226</v>
      </c>
      <c r="K450" s="5"/>
    </row>
    <row r="451">
      <c r="A451" s="3" t="s">
        <v>220</v>
      </c>
      <c r="B451" s="3" t="s">
        <v>323</v>
      </c>
      <c r="C451" s="3" t="s">
        <v>324</v>
      </c>
      <c r="D451" s="4" t="str">
        <f t="shared" si="45"/>
        <v>12Go Link</v>
      </c>
      <c r="E451" s="3" t="s">
        <v>227</v>
      </c>
      <c r="K451" s="5"/>
    </row>
    <row r="452">
      <c r="A452" s="3" t="s">
        <v>220</v>
      </c>
      <c r="B452" s="3" t="s">
        <v>323</v>
      </c>
      <c r="C452" s="3" t="s">
        <v>324</v>
      </c>
      <c r="D452" s="4" t="str">
        <f t="shared" si="45"/>
        <v>12Go Link</v>
      </c>
      <c r="E452" s="3" t="s">
        <v>228</v>
      </c>
      <c r="K452" s="5"/>
    </row>
    <row r="453">
      <c r="A453" s="3" t="s">
        <v>220</v>
      </c>
      <c r="B453" s="3" t="s">
        <v>276</v>
      </c>
      <c r="C453" s="3" t="s">
        <v>325</v>
      </c>
      <c r="D453" s="4" t="str">
        <f t="shared" ref="D453:D459" si="46">HYPERLINK("https://12go.asia/en/travel/Phnom-Penh-Transfer/Siem-Reap", "12Go Link")</f>
        <v>12Go Link</v>
      </c>
      <c r="E453" s="3" t="s">
        <v>222</v>
      </c>
      <c r="K453" s="5"/>
    </row>
    <row r="454">
      <c r="A454" s="3" t="s">
        <v>220</v>
      </c>
      <c r="B454" s="3" t="s">
        <v>276</v>
      </c>
      <c r="C454" s="3" t="s">
        <v>325</v>
      </c>
      <c r="D454" s="4" t="str">
        <f t="shared" si="46"/>
        <v>12Go Link</v>
      </c>
      <c r="E454" s="3" t="s">
        <v>223</v>
      </c>
      <c r="K454" s="5"/>
    </row>
    <row r="455">
      <c r="A455" s="3" t="s">
        <v>220</v>
      </c>
      <c r="B455" s="3" t="s">
        <v>276</v>
      </c>
      <c r="C455" s="3" t="s">
        <v>325</v>
      </c>
      <c r="D455" s="4" t="str">
        <f t="shared" si="46"/>
        <v>12Go Link</v>
      </c>
      <c r="E455" s="3" t="s">
        <v>224</v>
      </c>
      <c r="K455" s="5"/>
    </row>
    <row r="456">
      <c r="A456" s="3" t="s">
        <v>220</v>
      </c>
      <c r="B456" s="3" t="s">
        <v>276</v>
      </c>
      <c r="C456" s="3" t="s">
        <v>325</v>
      </c>
      <c r="D456" s="4" t="str">
        <f t="shared" si="46"/>
        <v>12Go Link</v>
      </c>
      <c r="E456" s="3" t="s">
        <v>225</v>
      </c>
      <c r="K456" s="5"/>
    </row>
    <row r="457">
      <c r="A457" s="3" t="s">
        <v>220</v>
      </c>
      <c r="B457" s="3" t="s">
        <v>276</v>
      </c>
      <c r="C457" s="3" t="s">
        <v>325</v>
      </c>
      <c r="D457" s="4" t="str">
        <f t="shared" si="46"/>
        <v>12Go Link</v>
      </c>
      <c r="E457" s="3" t="s">
        <v>226</v>
      </c>
      <c r="K457" s="5"/>
    </row>
    <row r="458">
      <c r="A458" s="3" t="s">
        <v>220</v>
      </c>
      <c r="B458" s="3" t="s">
        <v>276</v>
      </c>
      <c r="C458" s="3" t="s">
        <v>325</v>
      </c>
      <c r="D458" s="4" t="str">
        <f t="shared" si="46"/>
        <v>12Go Link</v>
      </c>
      <c r="E458" s="3" t="s">
        <v>227</v>
      </c>
      <c r="K458" s="5"/>
    </row>
    <row r="459">
      <c r="A459" s="3" t="s">
        <v>220</v>
      </c>
      <c r="B459" s="3" t="s">
        <v>276</v>
      </c>
      <c r="C459" s="3" t="s">
        <v>325</v>
      </c>
      <c r="D459" s="4" t="str">
        <f t="shared" si="46"/>
        <v>12Go Link</v>
      </c>
      <c r="E459" s="3" t="s">
        <v>228</v>
      </c>
      <c r="K459" s="5"/>
    </row>
    <row r="460">
      <c r="A460" s="3" t="s">
        <v>220</v>
      </c>
      <c r="B460" s="3" t="s">
        <v>326</v>
      </c>
      <c r="C460" s="3" t="s">
        <v>327</v>
      </c>
      <c r="D460" s="4" t="str">
        <f t="shared" ref="D460:D466" si="47">HYPERLINK("https://12go.asia/en/travel/Phnom-Penh-Transfer/Sihanoukville", "12Go Link")</f>
        <v>12Go Link</v>
      </c>
      <c r="E460" s="3" t="s">
        <v>222</v>
      </c>
      <c r="K460" s="5"/>
    </row>
    <row r="461">
      <c r="A461" s="3" t="s">
        <v>220</v>
      </c>
      <c r="B461" s="3" t="s">
        <v>326</v>
      </c>
      <c r="C461" s="3" t="s">
        <v>327</v>
      </c>
      <c r="D461" s="4" t="str">
        <f t="shared" si="47"/>
        <v>12Go Link</v>
      </c>
      <c r="E461" s="3" t="s">
        <v>223</v>
      </c>
      <c r="K461" s="5"/>
    </row>
    <row r="462">
      <c r="A462" s="3" t="s">
        <v>220</v>
      </c>
      <c r="B462" s="3" t="s">
        <v>326</v>
      </c>
      <c r="C462" s="3" t="s">
        <v>327</v>
      </c>
      <c r="D462" s="4" t="str">
        <f t="shared" si="47"/>
        <v>12Go Link</v>
      </c>
      <c r="E462" s="3" t="s">
        <v>224</v>
      </c>
      <c r="K462" s="5"/>
    </row>
    <row r="463">
      <c r="A463" s="3" t="s">
        <v>220</v>
      </c>
      <c r="B463" s="3" t="s">
        <v>326</v>
      </c>
      <c r="C463" s="3" t="s">
        <v>327</v>
      </c>
      <c r="D463" s="4" t="str">
        <f t="shared" si="47"/>
        <v>12Go Link</v>
      </c>
      <c r="E463" s="3" t="s">
        <v>225</v>
      </c>
      <c r="K463" s="5"/>
    </row>
    <row r="464">
      <c r="A464" s="3" t="s">
        <v>220</v>
      </c>
      <c r="B464" s="3" t="s">
        <v>326</v>
      </c>
      <c r="C464" s="3" t="s">
        <v>327</v>
      </c>
      <c r="D464" s="4" t="str">
        <f t="shared" si="47"/>
        <v>12Go Link</v>
      </c>
      <c r="E464" s="3" t="s">
        <v>226</v>
      </c>
      <c r="K464" s="5"/>
    </row>
    <row r="465">
      <c r="A465" s="3" t="s">
        <v>220</v>
      </c>
      <c r="B465" s="3" t="s">
        <v>326</v>
      </c>
      <c r="C465" s="3" t="s">
        <v>327</v>
      </c>
      <c r="D465" s="4" t="str">
        <f t="shared" si="47"/>
        <v>12Go Link</v>
      </c>
      <c r="E465" s="3" t="s">
        <v>227</v>
      </c>
      <c r="K465" s="5"/>
    </row>
    <row r="466">
      <c r="A466" s="3" t="s">
        <v>220</v>
      </c>
      <c r="B466" s="3" t="s">
        <v>326</v>
      </c>
      <c r="C466" s="3" t="s">
        <v>327</v>
      </c>
      <c r="D466" s="4" t="str">
        <f t="shared" si="47"/>
        <v>12Go Link</v>
      </c>
      <c r="E466" s="3" t="s">
        <v>228</v>
      </c>
      <c r="K466" s="5"/>
    </row>
    <row r="467">
      <c r="A467" s="3" t="s">
        <v>220</v>
      </c>
      <c r="B467" s="3" t="s">
        <v>278</v>
      </c>
      <c r="C467" s="3" t="s">
        <v>328</v>
      </c>
      <c r="D467" s="4" t="str">
        <f t="shared" ref="D467:D473" si="48">HYPERLINK("https://12go.asia/en/travel/Phnom-Penh-Transfer/Stung-Treng", "12Go Link")</f>
        <v>12Go Link</v>
      </c>
      <c r="E467" s="3" t="s">
        <v>222</v>
      </c>
      <c r="K467" s="5"/>
    </row>
    <row r="468">
      <c r="A468" s="3" t="s">
        <v>220</v>
      </c>
      <c r="B468" s="3" t="s">
        <v>278</v>
      </c>
      <c r="C468" s="3" t="s">
        <v>328</v>
      </c>
      <c r="D468" s="4" t="str">
        <f t="shared" si="48"/>
        <v>12Go Link</v>
      </c>
      <c r="E468" s="3" t="s">
        <v>223</v>
      </c>
      <c r="K468" s="5"/>
    </row>
    <row r="469">
      <c r="A469" s="3" t="s">
        <v>220</v>
      </c>
      <c r="B469" s="3" t="s">
        <v>278</v>
      </c>
      <c r="C469" s="3" t="s">
        <v>328</v>
      </c>
      <c r="D469" s="4" t="str">
        <f t="shared" si="48"/>
        <v>12Go Link</v>
      </c>
      <c r="E469" s="3" t="s">
        <v>224</v>
      </c>
      <c r="K469" s="5"/>
    </row>
    <row r="470">
      <c r="A470" s="3" t="s">
        <v>220</v>
      </c>
      <c r="B470" s="3" t="s">
        <v>278</v>
      </c>
      <c r="C470" s="3" t="s">
        <v>328</v>
      </c>
      <c r="D470" s="4" t="str">
        <f t="shared" si="48"/>
        <v>12Go Link</v>
      </c>
      <c r="E470" s="3" t="s">
        <v>225</v>
      </c>
      <c r="K470" s="5"/>
    </row>
    <row r="471">
      <c r="A471" s="3" t="s">
        <v>220</v>
      </c>
      <c r="B471" s="3" t="s">
        <v>278</v>
      </c>
      <c r="C471" s="3" t="s">
        <v>328</v>
      </c>
      <c r="D471" s="4" t="str">
        <f t="shared" si="48"/>
        <v>12Go Link</v>
      </c>
      <c r="E471" s="3" t="s">
        <v>226</v>
      </c>
      <c r="K471" s="5"/>
    </row>
    <row r="472">
      <c r="A472" s="3" t="s">
        <v>220</v>
      </c>
      <c r="B472" s="3" t="s">
        <v>278</v>
      </c>
      <c r="C472" s="3" t="s">
        <v>328</v>
      </c>
      <c r="D472" s="4" t="str">
        <f t="shared" si="48"/>
        <v>12Go Link</v>
      </c>
      <c r="E472" s="3" t="s">
        <v>227</v>
      </c>
      <c r="K472" s="5"/>
    </row>
    <row r="473">
      <c r="A473" s="3" t="s">
        <v>220</v>
      </c>
      <c r="B473" s="3" t="s">
        <v>278</v>
      </c>
      <c r="C473" s="3" t="s">
        <v>328</v>
      </c>
      <c r="D473" s="4" t="str">
        <f t="shared" si="48"/>
        <v>12Go Link</v>
      </c>
      <c r="E473" s="3" t="s">
        <v>228</v>
      </c>
      <c r="K473" s="5"/>
    </row>
    <row r="474">
      <c r="A474" s="3" t="s">
        <v>220</v>
      </c>
      <c r="B474" s="3" t="s">
        <v>278</v>
      </c>
      <c r="C474" s="3" t="s">
        <v>329</v>
      </c>
      <c r="D474" s="4" t="str">
        <f>HYPERLINK("https://12go.asia/en/travel/Sarah-Transport-Phnom-Penh/Laos-Border", "12Go Link")</f>
        <v>12Go Link</v>
      </c>
      <c r="E474" s="3" t="s">
        <v>316</v>
      </c>
      <c r="K474" s="5"/>
    </row>
    <row r="475">
      <c r="A475" s="3" t="s">
        <v>220</v>
      </c>
      <c r="B475" s="3" t="s">
        <v>278</v>
      </c>
      <c r="C475" s="3" t="s">
        <v>330</v>
      </c>
      <c r="D475" s="4" t="str">
        <f>HYPERLINK("https://12go.asia/en/travel/Sarah-Transport-Phnom-Penh/Stung-Treng-Tic-Cafe", "12Go Link")</f>
        <v>12Go Link</v>
      </c>
      <c r="E475" s="3" t="s">
        <v>316</v>
      </c>
      <c r="K475" s="5"/>
    </row>
    <row r="476">
      <c r="A476" s="3" t="s">
        <v>220</v>
      </c>
      <c r="B476" s="3" t="s">
        <v>331</v>
      </c>
      <c r="C476" s="3" t="s">
        <v>332</v>
      </c>
      <c r="D476" s="4" t="str">
        <f t="shared" ref="D476:D482" si="49">HYPERLINK("https://12go.asia/en/travel/Phnom-Penh-Transfer/Svay-Rieng", "12Go Link")</f>
        <v>12Go Link</v>
      </c>
      <c r="E476" s="3" t="s">
        <v>222</v>
      </c>
      <c r="K476" s="5"/>
    </row>
    <row r="477">
      <c r="A477" s="3" t="s">
        <v>220</v>
      </c>
      <c r="B477" s="3" t="s">
        <v>331</v>
      </c>
      <c r="C477" s="3" t="s">
        <v>332</v>
      </c>
      <c r="D477" s="4" t="str">
        <f t="shared" si="49"/>
        <v>12Go Link</v>
      </c>
      <c r="E477" s="3" t="s">
        <v>223</v>
      </c>
      <c r="K477" s="5"/>
    </row>
    <row r="478">
      <c r="A478" s="3" t="s">
        <v>220</v>
      </c>
      <c r="B478" s="3" t="s">
        <v>331</v>
      </c>
      <c r="C478" s="3" t="s">
        <v>332</v>
      </c>
      <c r="D478" s="4" t="str">
        <f t="shared" si="49"/>
        <v>12Go Link</v>
      </c>
      <c r="E478" s="3" t="s">
        <v>224</v>
      </c>
      <c r="K478" s="5"/>
    </row>
    <row r="479">
      <c r="A479" s="3" t="s">
        <v>220</v>
      </c>
      <c r="B479" s="3" t="s">
        <v>331</v>
      </c>
      <c r="C479" s="3" t="s">
        <v>332</v>
      </c>
      <c r="D479" s="4" t="str">
        <f t="shared" si="49"/>
        <v>12Go Link</v>
      </c>
      <c r="E479" s="3" t="s">
        <v>225</v>
      </c>
      <c r="K479" s="5"/>
    </row>
    <row r="480">
      <c r="A480" s="3" t="s">
        <v>220</v>
      </c>
      <c r="B480" s="3" t="s">
        <v>331</v>
      </c>
      <c r="C480" s="3" t="s">
        <v>332</v>
      </c>
      <c r="D480" s="4" t="str">
        <f t="shared" si="49"/>
        <v>12Go Link</v>
      </c>
      <c r="E480" s="3" t="s">
        <v>226</v>
      </c>
      <c r="K480" s="5"/>
    </row>
    <row r="481">
      <c r="A481" s="3" t="s">
        <v>220</v>
      </c>
      <c r="B481" s="3" t="s">
        <v>331</v>
      </c>
      <c r="C481" s="3" t="s">
        <v>332</v>
      </c>
      <c r="D481" s="4" t="str">
        <f t="shared" si="49"/>
        <v>12Go Link</v>
      </c>
      <c r="E481" s="3" t="s">
        <v>227</v>
      </c>
      <c r="K481" s="5"/>
    </row>
    <row r="482">
      <c r="A482" s="3" t="s">
        <v>220</v>
      </c>
      <c r="B482" s="3" t="s">
        <v>331</v>
      </c>
      <c r="C482" s="3" t="s">
        <v>332</v>
      </c>
      <c r="D482" s="4" t="str">
        <f t="shared" si="49"/>
        <v>12Go Link</v>
      </c>
      <c r="E482" s="3" t="s">
        <v>228</v>
      </c>
      <c r="K482" s="5"/>
    </row>
    <row r="483">
      <c r="A483" s="3" t="s">
        <v>220</v>
      </c>
      <c r="B483" s="3" t="s">
        <v>333</v>
      </c>
      <c r="C483" s="3" t="s">
        <v>334</v>
      </c>
      <c r="D483" s="4" t="str">
        <f t="shared" ref="D483:D489" si="50">HYPERLINK("https://12go.asia/en/travel/Phnom-Penh-Transfer/Angkor-Borei", "12Go Link")</f>
        <v>12Go Link</v>
      </c>
      <c r="E483" s="3" t="s">
        <v>222</v>
      </c>
      <c r="K483" s="5"/>
    </row>
    <row r="484">
      <c r="A484" s="3" t="s">
        <v>220</v>
      </c>
      <c r="B484" s="3" t="s">
        <v>333</v>
      </c>
      <c r="C484" s="3" t="s">
        <v>334</v>
      </c>
      <c r="D484" s="4" t="str">
        <f t="shared" si="50"/>
        <v>12Go Link</v>
      </c>
      <c r="E484" s="3" t="s">
        <v>223</v>
      </c>
      <c r="K484" s="5"/>
    </row>
    <row r="485">
      <c r="A485" s="3" t="s">
        <v>220</v>
      </c>
      <c r="B485" s="3" t="s">
        <v>333</v>
      </c>
      <c r="C485" s="3" t="s">
        <v>334</v>
      </c>
      <c r="D485" s="4" t="str">
        <f t="shared" si="50"/>
        <v>12Go Link</v>
      </c>
      <c r="E485" s="3" t="s">
        <v>224</v>
      </c>
      <c r="K485" s="5"/>
    </row>
    <row r="486">
      <c r="A486" s="3" t="s">
        <v>220</v>
      </c>
      <c r="B486" s="3" t="s">
        <v>333</v>
      </c>
      <c r="C486" s="3" t="s">
        <v>334</v>
      </c>
      <c r="D486" s="4" t="str">
        <f t="shared" si="50"/>
        <v>12Go Link</v>
      </c>
      <c r="E486" s="3" t="s">
        <v>225</v>
      </c>
      <c r="K486" s="5"/>
    </row>
    <row r="487">
      <c r="A487" s="3" t="s">
        <v>220</v>
      </c>
      <c r="B487" s="3" t="s">
        <v>333</v>
      </c>
      <c r="C487" s="3" t="s">
        <v>334</v>
      </c>
      <c r="D487" s="4" t="str">
        <f t="shared" si="50"/>
        <v>12Go Link</v>
      </c>
      <c r="E487" s="3" t="s">
        <v>226</v>
      </c>
      <c r="K487" s="5"/>
    </row>
    <row r="488">
      <c r="A488" s="3" t="s">
        <v>220</v>
      </c>
      <c r="B488" s="3" t="s">
        <v>333</v>
      </c>
      <c r="C488" s="3" t="s">
        <v>334</v>
      </c>
      <c r="D488" s="4" t="str">
        <f t="shared" si="50"/>
        <v>12Go Link</v>
      </c>
      <c r="E488" s="3" t="s">
        <v>227</v>
      </c>
      <c r="K488" s="5"/>
    </row>
    <row r="489">
      <c r="A489" s="3" t="s">
        <v>220</v>
      </c>
      <c r="B489" s="3" t="s">
        <v>333</v>
      </c>
      <c r="C489" s="3" t="s">
        <v>334</v>
      </c>
      <c r="D489" s="4" t="str">
        <f t="shared" si="50"/>
        <v>12Go Link</v>
      </c>
      <c r="E489" s="3" t="s">
        <v>228</v>
      </c>
      <c r="K489" s="5"/>
    </row>
    <row r="490">
      <c r="A490" s="3" t="s">
        <v>220</v>
      </c>
      <c r="B490" s="3" t="s">
        <v>333</v>
      </c>
      <c r="C490" s="3" t="s">
        <v>335</v>
      </c>
      <c r="D490" s="4" t="str">
        <f t="shared" ref="D490:D496" si="51">HYPERLINK("https://12go.asia/en/travel/Phnom-Penh-Transfer/Chi-So", "12Go Link")</f>
        <v>12Go Link</v>
      </c>
      <c r="E490" s="3" t="s">
        <v>222</v>
      </c>
      <c r="K490" s="5"/>
    </row>
    <row r="491">
      <c r="A491" s="3" t="s">
        <v>220</v>
      </c>
      <c r="B491" s="3" t="s">
        <v>333</v>
      </c>
      <c r="C491" s="3" t="s">
        <v>335</v>
      </c>
      <c r="D491" s="4" t="str">
        <f t="shared" si="51"/>
        <v>12Go Link</v>
      </c>
      <c r="E491" s="3" t="s">
        <v>223</v>
      </c>
      <c r="K491" s="5"/>
    </row>
    <row r="492">
      <c r="A492" s="3" t="s">
        <v>220</v>
      </c>
      <c r="B492" s="3" t="s">
        <v>333</v>
      </c>
      <c r="C492" s="3" t="s">
        <v>335</v>
      </c>
      <c r="D492" s="4" t="str">
        <f t="shared" si="51"/>
        <v>12Go Link</v>
      </c>
      <c r="E492" s="3" t="s">
        <v>224</v>
      </c>
      <c r="K492" s="5"/>
    </row>
    <row r="493">
      <c r="A493" s="3" t="s">
        <v>220</v>
      </c>
      <c r="B493" s="3" t="s">
        <v>333</v>
      </c>
      <c r="C493" s="3" t="s">
        <v>335</v>
      </c>
      <c r="D493" s="4" t="str">
        <f t="shared" si="51"/>
        <v>12Go Link</v>
      </c>
      <c r="E493" s="3" t="s">
        <v>225</v>
      </c>
      <c r="K493" s="5"/>
    </row>
    <row r="494">
      <c r="A494" s="3" t="s">
        <v>220</v>
      </c>
      <c r="B494" s="3" t="s">
        <v>333</v>
      </c>
      <c r="C494" s="3" t="s">
        <v>335</v>
      </c>
      <c r="D494" s="4" t="str">
        <f t="shared" si="51"/>
        <v>12Go Link</v>
      </c>
      <c r="E494" s="3" t="s">
        <v>226</v>
      </c>
      <c r="K494" s="5"/>
    </row>
    <row r="495">
      <c r="A495" s="3" t="s">
        <v>220</v>
      </c>
      <c r="B495" s="3" t="s">
        <v>333</v>
      </c>
      <c r="C495" s="3" t="s">
        <v>335</v>
      </c>
      <c r="D495" s="4" t="str">
        <f t="shared" si="51"/>
        <v>12Go Link</v>
      </c>
      <c r="E495" s="3" t="s">
        <v>227</v>
      </c>
      <c r="K495" s="5"/>
    </row>
    <row r="496">
      <c r="A496" s="3" t="s">
        <v>220</v>
      </c>
      <c r="B496" s="3" t="s">
        <v>333</v>
      </c>
      <c r="C496" s="3" t="s">
        <v>335</v>
      </c>
      <c r="D496" s="4" t="str">
        <f t="shared" si="51"/>
        <v>12Go Link</v>
      </c>
      <c r="E496" s="3" t="s">
        <v>228</v>
      </c>
      <c r="K496" s="5"/>
    </row>
    <row r="497">
      <c r="A497" s="3" t="s">
        <v>220</v>
      </c>
      <c r="B497" s="3" t="s">
        <v>333</v>
      </c>
      <c r="C497" s="3" t="s">
        <v>336</v>
      </c>
      <c r="D497" s="4" t="str">
        <f t="shared" ref="D497:D503" si="52">HYPERLINK("https://12go.asia/en/travel/Phnom-Penh-Transfer/Phnom-Da", "12Go Link")</f>
        <v>12Go Link</v>
      </c>
      <c r="E497" s="3" t="s">
        <v>222</v>
      </c>
      <c r="K497" s="5"/>
    </row>
    <row r="498">
      <c r="A498" s="3" t="s">
        <v>220</v>
      </c>
      <c r="B498" s="3" t="s">
        <v>333</v>
      </c>
      <c r="C498" s="3" t="s">
        <v>336</v>
      </c>
      <c r="D498" s="4" t="str">
        <f t="shared" si="52"/>
        <v>12Go Link</v>
      </c>
      <c r="E498" s="3" t="s">
        <v>223</v>
      </c>
      <c r="K498" s="5"/>
    </row>
    <row r="499">
      <c r="A499" s="3" t="s">
        <v>220</v>
      </c>
      <c r="B499" s="3" t="s">
        <v>333</v>
      </c>
      <c r="C499" s="3" t="s">
        <v>336</v>
      </c>
      <c r="D499" s="4" t="str">
        <f t="shared" si="52"/>
        <v>12Go Link</v>
      </c>
      <c r="E499" s="3" t="s">
        <v>224</v>
      </c>
      <c r="K499" s="5"/>
    </row>
    <row r="500">
      <c r="A500" s="3" t="s">
        <v>220</v>
      </c>
      <c r="B500" s="3" t="s">
        <v>333</v>
      </c>
      <c r="C500" s="3" t="s">
        <v>336</v>
      </c>
      <c r="D500" s="4" t="str">
        <f t="shared" si="52"/>
        <v>12Go Link</v>
      </c>
      <c r="E500" s="3" t="s">
        <v>225</v>
      </c>
      <c r="K500" s="5"/>
    </row>
    <row r="501">
      <c r="A501" s="3" t="s">
        <v>220</v>
      </c>
      <c r="B501" s="3" t="s">
        <v>333</v>
      </c>
      <c r="C501" s="3" t="s">
        <v>336</v>
      </c>
      <c r="D501" s="4" t="str">
        <f t="shared" si="52"/>
        <v>12Go Link</v>
      </c>
      <c r="E501" s="3" t="s">
        <v>226</v>
      </c>
      <c r="K501" s="5"/>
    </row>
    <row r="502">
      <c r="A502" s="3" t="s">
        <v>220</v>
      </c>
      <c r="B502" s="3" t="s">
        <v>333</v>
      </c>
      <c r="C502" s="3" t="s">
        <v>336</v>
      </c>
      <c r="D502" s="4" t="str">
        <f t="shared" si="52"/>
        <v>12Go Link</v>
      </c>
      <c r="E502" s="3" t="s">
        <v>227</v>
      </c>
      <c r="K502" s="5"/>
    </row>
    <row r="503">
      <c r="A503" s="3" t="s">
        <v>220</v>
      </c>
      <c r="B503" s="3" t="s">
        <v>333</v>
      </c>
      <c r="C503" s="3" t="s">
        <v>336</v>
      </c>
      <c r="D503" s="4" t="str">
        <f t="shared" si="52"/>
        <v>12Go Link</v>
      </c>
      <c r="E503" s="3" t="s">
        <v>228</v>
      </c>
      <c r="K503" s="5"/>
    </row>
    <row r="504">
      <c r="A504" s="3" t="s">
        <v>220</v>
      </c>
      <c r="B504" s="3" t="s">
        <v>333</v>
      </c>
      <c r="C504" s="3" t="s">
        <v>337</v>
      </c>
      <c r="D504" s="4" t="str">
        <f t="shared" ref="D504:D510" si="53">HYPERLINK("https://12go.asia/en/travel/Phnom-Penh-Transfer/Tamao", "12Go Link")</f>
        <v>12Go Link</v>
      </c>
      <c r="E504" s="3" t="s">
        <v>222</v>
      </c>
      <c r="K504" s="5"/>
    </row>
    <row r="505">
      <c r="A505" s="3" t="s">
        <v>220</v>
      </c>
      <c r="B505" s="3" t="s">
        <v>333</v>
      </c>
      <c r="C505" s="3" t="s">
        <v>337</v>
      </c>
      <c r="D505" s="4" t="str">
        <f t="shared" si="53"/>
        <v>12Go Link</v>
      </c>
      <c r="E505" s="3" t="s">
        <v>223</v>
      </c>
      <c r="K505" s="5"/>
    </row>
    <row r="506">
      <c r="A506" s="3" t="s">
        <v>220</v>
      </c>
      <c r="B506" s="3" t="s">
        <v>333</v>
      </c>
      <c r="C506" s="3" t="s">
        <v>337</v>
      </c>
      <c r="D506" s="4" t="str">
        <f t="shared" si="53"/>
        <v>12Go Link</v>
      </c>
      <c r="E506" s="3" t="s">
        <v>224</v>
      </c>
      <c r="K506" s="5"/>
    </row>
    <row r="507">
      <c r="A507" s="3" t="s">
        <v>220</v>
      </c>
      <c r="B507" s="3" t="s">
        <v>333</v>
      </c>
      <c r="C507" s="3" t="s">
        <v>337</v>
      </c>
      <c r="D507" s="4" t="str">
        <f t="shared" si="53"/>
        <v>12Go Link</v>
      </c>
      <c r="E507" s="3" t="s">
        <v>225</v>
      </c>
      <c r="K507" s="5"/>
    </row>
    <row r="508">
      <c r="A508" s="3" t="s">
        <v>220</v>
      </c>
      <c r="B508" s="3" t="s">
        <v>333</v>
      </c>
      <c r="C508" s="3" t="s">
        <v>337</v>
      </c>
      <c r="D508" s="4" t="str">
        <f t="shared" si="53"/>
        <v>12Go Link</v>
      </c>
      <c r="E508" s="3" t="s">
        <v>226</v>
      </c>
      <c r="K508" s="5"/>
    </row>
    <row r="509">
      <c r="A509" s="3" t="s">
        <v>220</v>
      </c>
      <c r="B509" s="3" t="s">
        <v>333</v>
      </c>
      <c r="C509" s="3" t="s">
        <v>337</v>
      </c>
      <c r="D509" s="4" t="str">
        <f t="shared" si="53"/>
        <v>12Go Link</v>
      </c>
      <c r="E509" s="3" t="s">
        <v>227</v>
      </c>
      <c r="K509" s="5"/>
    </row>
    <row r="510">
      <c r="A510" s="3" t="s">
        <v>220</v>
      </c>
      <c r="B510" s="3" t="s">
        <v>333</v>
      </c>
      <c r="C510" s="3" t="s">
        <v>337</v>
      </c>
      <c r="D510" s="4" t="str">
        <f t="shared" si="53"/>
        <v>12Go Link</v>
      </c>
      <c r="E510" s="3" t="s">
        <v>228</v>
      </c>
      <c r="K510" s="5"/>
    </row>
    <row r="511">
      <c r="A511" s="3" t="s">
        <v>220</v>
      </c>
      <c r="B511" s="3" t="s">
        <v>338</v>
      </c>
      <c r="C511" s="3" t="s">
        <v>339</v>
      </c>
      <c r="D511" s="4" t="str">
        <f>HYPERLINK("https://12go.asia/en/travel/Sarah-Transport-Phnom-Penh/Don-Khong", "12Go Link")</f>
        <v>12Go Link</v>
      </c>
      <c r="E511" s="3" t="s">
        <v>316</v>
      </c>
      <c r="K511" s="5"/>
    </row>
    <row r="512">
      <c r="A512" s="3" t="s">
        <v>220</v>
      </c>
      <c r="B512" s="3" t="s">
        <v>340</v>
      </c>
      <c r="C512" s="3" t="s">
        <v>341</v>
      </c>
      <c r="D512" s="4" t="str">
        <f>HYPERLINK("https://12go.asia/en/travel/Sarah-Transport-Phnom-Penh/Sarah-Transport-Vientiane", "12Go Link")</f>
        <v>12Go Link</v>
      </c>
      <c r="E512" s="3" t="s">
        <v>316</v>
      </c>
      <c r="K512" s="5"/>
    </row>
    <row r="513">
      <c r="A513" s="3" t="s">
        <v>220</v>
      </c>
      <c r="B513" s="3" t="s">
        <v>238</v>
      </c>
      <c r="C513" s="3" t="s">
        <v>342</v>
      </c>
      <c r="D513" s="4" t="str">
        <f>HYPERLINK("https://12go.asia/en/travel/Sarah-Transport-Phnom-Penh/Emsamang-Express-Travel", "12Go Link")</f>
        <v>12Go Link</v>
      </c>
      <c r="E513" s="3" t="s">
        <v>316</v>
      </c>
      <c r="K513" s="5"/>
    </row>
    <row r="514">
      <c r="A514" s="3" t="s">
        <v>220</v>
      </c>
      <c r="B514" s="3" t="s">
        <v>343</v>
      </c>
      <c r="C514" s="3" t="s">
        <v>344</v>
      </c>
      <c r="D514" s="4" t="str">
        <f>HYPERLINK("https://12go.asia/en/travel/phnom-penh/chanthaburi", "12Go Link")</f>
        <v>12Go Link</v>
      </c>
      <c r="E514" s="3" t="s">
        <v>8</v>
      </c>
      <c r="K514" s="5"/>
    </row>
    <row r="515">
      <c r="A515" s="3" t="s">
        <v>274</v>
      </c>
      <c r="B515" s="3" t="s">
        <v>276</v>
      </c>
      <c r="C515" s="3" t="s">
        <v>345</v>
      </c>
      <c r="D515" s="4" t="str">
        <f>HYPERLINK("https://12go.asia/en/travel/Poipet-Border/Siem-Reap", "12Go Link")</f>
        <v>12Go Link</v>
      </c>
      <c r="E515" s="3" t="s">
        <v>346</v>
      </c>
      <c r="K515" s="5"/>
    </row>
    <row r="516">
      <c r="A516" s="3" t="s">
        <v>317</v>
      </c>
      <c r="B516" s="3" t="s">
        <v>220</v>
      </c>
      <c r="C516" s="3" t="s">
        <v>347</v>
      </c>
      <c r="D516" s="4" t="str">
        <f t="shared" ref="D516:D522" si="54">HYPERLINK("https://12go.asia/en/travel/Preah-Vihear/Phnom-Penh-Transfer", "12Go Link")</f>
        <v>12Go Link</v>
      </c>
      <c r="E516" s="3" t="s">
        <v>222</v>
      </c>
      <c r="K516" s="5"/>
    </row>
    <row r="517">
      <c r="A517" s="3" t="s">
        <v>317</v>
      </c>
      <c r="B517" s="3" t="s">
        <v>220</v>
      </c>
      <c r="C517" s="3" t="s">
        <v>347</v>
      </c>
      <c r="D517" s="4" t="str">
        <f t="shared" si="54"/>
        <v>12Go Link</v>
      </c>
      <c r="E517" s="3" t="s">
        <v>223</v>
      </c>
      <c r="K517" s="5"/>
    </row>
    <row r="518">
      <c r="A518" s="3" t="s">
        <v>317</v>
      </c>
      <c r="B518" s="3" t="s">
        <v>220</v>
      </c>
      <c r="C518" s="3" t="s">
        <v>347</v>
      </c>
      <c r="D518" s="4" t="str">
        <f t="shared" si="54"/>
        <v>12Go Link</v>
      </c>
      <c r="E518" s="3" t="s">
        <v>224</v>
      </c>
      <c r="K518" s="5"/>
    </row>
    <row r="519">
      <c r="A519" s="3" t="s">
        <v>317</v>
      </c>
      <c r="B519" s="3" t="s">
        <v>220</v>
      </c>
      <c r="C519" s="3" t="s">
        <v>347</v>
      </c>
      <c r="D519" s="4" t="str">
        <f t="shared" si="54"/>
        <v>12Go Link</v>
      </c>
      <c r="E519" s="3" t="s">
        <v>225</v>
      </c>
      <c r="K519" s="5"/>
    </row>
    <row r="520">
      <c r="A520" s="3" t="s">
        <v>317</v>
      </c>
      <c r="B520" s="3" t="s">
        <v>220</v>
      </c>
      <c r="C520" s="3" t="s">
        <v>347</v>
      </c>
      <c r="D520" s="4" t="str">
        <f t="shared" si="54"/>
        <v>12Go Link</v>
      </c>
      <c r="E520" s="3" t="s">
        <v>226</v>
      </c>
      <c r="K520" s="5"/>
    </row>
    <row r="521">
      <c r="A521" s="3" t="s">
        <v>317</v>
      </c>
      <c r="B521" s="3" t="s">
        <v>220</v>
      </c>
      <c r="C521" s="3" t="s">
        <v>347</v>
      </c>
      <c r="D521" s="4" t="str">
        <f t="shared" si="54"/>
        <v>12Go Link</v>
      </c>
      <c r="E521" s="3" t="s">
        <v>227</v>
      </c>
      <c r="K521" s="5"/>
    </row>
    <row r="522">
      <c r="A522" s="3" t="s">
        <v>317</v>
      </c>
      <c r="B522" s="3" t="s">
        <v>220</v>
      </c>
      <c r="C522" s="3" t="s">
        <v>347</v>
      </c>
      <c r="D522" s="4" t="str">
        <f t="shared" si="54"/>
        <v>12Go Link</v>
      </c>
      <c r="E522" s="3" t="s">
        <v>228</v>
      </c>
      <c r="K522" s="5"/>
    </row>
    <row r="523">
      <c r="A523" s="3" t="s">
        <v>319</v>
      </c>
      <c r="B523" s="3" t="s">
        <v>220</v>
      </c>
      <c r="C523" s="3" t="s">
        <v>348</v>
      </c>
      <c r="D523" s="4" t="str">
        <f t="shared" ref="D523:D529" si="55">HYPERLINK("https://12go.asia/en/travel/Prey-Veng/Phnom-Penh-Transfer", "12Go Link")</f>
        <v>12Go Link</v>
      </c>
      <c r="E523" s="3" t="s">
        <v>222</v>
      </c>
      <c r="K523" s="5"/>
    </row>
    <row r="524">
      <c r="A524" s="3" t="s">
        <v>319</v>
      </c>
      <c r="B524" s="3" t="s">
        <v>220</v>
      </c>
      <c r="C524" s="3" t="s">
        <v>348</v>
      </c>
      <c r="D524" s="4" t="str">
        <f t="shared" si="55"/>
        <v>12Go Link</v>
      </c>
      <c r="E524" s="3" t="s">
        <v>223</v>
      </c>
      <c r="K524" s="5"/>
    </row>
    <row r="525">
      <c r="A525" s="3" t="s">
        <v>319</v>
      </c>
      <c r="B525" s="3" t="s">
        <v>220</v>
      </c>
      <c r="C525" s="3" t="s">
        <v>348</v>
      </c>
      <c r="D525" s="4" t="str">
        <f t="shared" si="55"/>
        <v>12Go Link</v>
      </c>
      <c r="E525" s="3" t="s">
        <v>224</v>
      </c>
      <c r="K525" s="5"/>
    </row>
    <row r="526">
      <c r="A526" s="3" t="s">
        <v>319</v>
      </c>
      <c r="B526" s="3" t="s">
        <v>220</v>
      </c>
      <c r="C526" s="3" t="s">
        <v>348</v>
      </c>
      <c r="D526" s="4" t="str">
        <f t="shared" si="55"/>
        <v>12Go Link</v>
      </c>
      <c r="E526" s="3" t="s">
        <v>225</v>
      </c>
      <c r="K526" s="5"/>
    </row>
    <row r="527">
      <c r="A527" s="3" t="s">
        <v>319</v>
      </c>
      <c r="B527" s="3" t="s">
        <v>220</v>
      </c>
      <c r="C527" s="3" t="s">
        <v>348</v>
      </c>
      <c r="D527" s="4" t="str">
        <f t="shared" si="55"/>
        <v>12Go Link</v>
      </c>
      <c r="E527" s="3" t="s">
        <v>226</v>
      </c>
      <c r="K527" s="5"/>
    </row>
    <row r="528">
      <c r="A528" s="3" t="s">
        <v>319</v>
      </c>
      <c r="B528" s="3" t="s">
        <v>220</v>
      </c>
      <c r="C528" s="3" t="s">
        <v>348</v>
      </c>
      <c r="D528" s="4" t="str">
        <f t="shared" si="55"/>
        <v>12Go Link</v>
      </c>
      <c r="E528" s="3" t="s">
        <v>227</v>
      </c>
      <c r="K528" s="5"/>
    </row>
    <row r="529">
      <c r="A529" s="3" t="s">
        <v>319</v>
      </c>
      <c r="B529" s="3" t="s">
        <v>220</v>
      </c>
      <c r="C529" s="3" t="s">
        <v>348</v>
      </c>
      <c r="D529" s="4" t="str">
        <f t="shared" si="55"/>
        <v>12Go Link</v>
      </c>
      <c r="E529" s="3" t="s">
        <v>228</v>
      </c>
      <c r="K529" s="5"/>
    </row>
    <row r="530">
      <c r="A530" s="3" t="s">
        <v>321</v>
      </c>
      <c r="B530" s="3" t="s">
        <v>220</v>
      </c>
      <c r="C530" s="3" t="s">
        <v>349</v>
      </c>
      <c r="D530" s="4" t="str">
        <f t="shared" ref="D530:D536" si="56">HYPERLINK("https://12go.asia/en/travel/Pursat/Phnom-Penh-Transfer", "12Go Link")</f>
        <v>12Go Link</v>
      </c>
      <c r="E530" s="3" t="s">
        <v>222</v>
      </c>
      <c r="K530" s="5"/>
    </row>
    <row r="531">
      <c r="A531" s="3" t="s">
        <v>321</v>
      </c>
      <c r="B531" s="3" t="s">
        <v>220</v>
      </c>
      <c r="C531" s="3" t="s">
        <v>349</v>
      </c>
      <c r="D531" s="4" t="str">
        <f t="shared" si="56"/>
        <v>12Go Link</v>
      </c>
      <c r="E531" s="3" t="s">
        <v>223</v>
      </c>
      <c r="K531" s="5"/>
    </row>
    <row r="532">
      <c r="A532" s="3" t="s">
        <v>321</v>
      </c>
      <c r="B532" s="3" t="s">
        <v>220</v>
      </c>
      <c r="C532" s="3" t="s">
        <v>349</v>
      </c>
      <c r="D532" s="4" t="str">
        <f t="shared" si="56"/>
        <v>12Go Link</v>
      </c>
      <c r="E532" s="3" t="s">
        <v>224</v>
      </c>
      <c r="K532" s="5"/>
    </row>
    <row r="533">
      <c r="A533" s="3" t="s">
        <v>321</v>
      </c>
      <c r="B533" s="3" t="s">
        <v>220</v>
      </c>
      <c r="C533" s="3" t="s">
        <v>349</v>
      </c>
      <c r="D533" s="4" t="str">
        <f t="shared" si="56"/>
        <v>12Go Link</v>
      </c>
      <c r="E533" s="3" t="s">
        <v>225</v>
      </c>
      <c r="K533" s="5"/>
    </row>
    <row r="534">
      <c r="A534" s="3" t="s">
        <v>321</v>
      </c>
      <c r="B534" s="3" t="s">
        <v>220</v>
      </c>
      <c r="C534" s="3" t="s">
        <v>349</v>
      </c>
      <c r="D534" s="4" t="str">
        <f t="shared" si="56"/>
        <v>12Go Link</v>
      </c>
      <c r="E534" s="3" t="s">
        <v>226</v>
      </c>
      <c r="K534" s="5"/>
    </row>
    <row r="535">
      <c r="A535" s="3" t="s">
        <v>321</v>
      </c>
      <c r="B535" s="3" t="s">
        <v>220</v>
      </c>
      <c r="C535" s="3" t="s">
        <v>349</v>
      </c>
      <c r="D535" s="4" t="str">
        <f t="shared" si="56"/>
        <v>12Go Link</v>
      </c>
      <c r="E535" s="3" t="s">
        <v>227</v>
      </c>
      <c r="K535" s="5"/>
    </row>
    <row r="536">
      <c r="A536" s="3" t="s">
        <v>321</v>
      </c>
      <c r="B536" s="3" t="s">
        <v>220</v>
      </c>
      <c r="C536" s="3" t="s">
        <v>349</v>
      </c>
      <c r="D536" s="4" t="str">
        <f t="shared" si="56"/>
        <v>12Go Link</v>
      </c>
      <c r="E536" s="3" t="s">
        <v>228</v>
      </c>
      <c r="K536" s="5"/>
    </row>
    <row r="537">
      <c r="A537" s="3" t="s">
        <v>321</v>
      </c>
      <c r="B537" s="3" t="s">
        <v>238</v>
      </c>
      <c r="C537" s="3" t="s">
        <v>350</v>
      </c>
      <c r="D537" s="4" t="str">
        <f>HYPERLINK("https://12go.asia/en/travel/pursat/bangkok", "12Go Link")</f>
        <v>12Go Link</v>
      </c>
      <c r="E537" s="3" t="s">
        <v>8</v>
      </c>
      <c r="K537" s="5"/>
    </row>
    <row r="538">
      <c r="A538" s="3" t="s">
        <v>323</v>
      </c>
      <c r="B538" s="3" t="s">
        <v>220</v>
      </c>
      <c r="C538" s="3" t="s">
        <v>351</v>
      </c>
      <c r="D538" s="4" t="str">
        <f t="shared" ref="D538:D544" si="57">HYPERLINK("https://12go.asia/en/travel/Rattanakiri/Phnom-Penh-Transfer", "12Go Link")</f>
        <v>12Go Link</v>
      </c>
      <c r="E538" s="3" t="s">
        <v>222</v>
      </c>
      <c r="K538" s="5"/>
    </row>
    <row r="539">
      <c r="A539" s="3" t="s">
        <v>323</v>
      </c>
      <c r="B539" s="3" t="s">
        <v>220</v>
      </c>
      <c r="C539" s="3" t="s">
        <v>351</v>
      </c>
      <c r="D539" s="4" t="str">
        <f t="shared" si="57"/>
        <v>12Go Link</v>
      </c>
      <c r="E539" s="3" t="s">
        <v>223</v>
      </c>
      <c r="K539" s="5"/>
    </row>
    <row r="540">
      <c r="A540" s="3" t="s">
        <v>323</v>
      </c>
      <c r="B540" s="3" t="s">
        <v>220</v>
      </c>
      <c r="C540" s="3" t="s">
        <v>351</v>
      </c>
      <c r="D540" s="4" t="str">
        <f t="shared" si="57"/>
        <v>12Go Link</v>
      </c>
      <c r="E540" s="3" t="s">
        <v>224</v>
      </c>
      <c r="K540" s="5"/>
    </row>
    <row r="541">
      <c r="A541" s="3" t="s">
        <v>323</v>
      </c>
      <c r="B541" s="3" t="s">
        <v>220</v>
      </c>
      <c r="C541" s="3" t="s">
        <v>351</v>
      </c>
      <c r="D541" s="4" t="str">
        <f t="shared" si="57"/>
        <v>12Go Link</v>
      </c>
      <c r="E541" s="3" t="s">
        <v>225</v>
      </c>
      <c r="K541" s="5"/>
    </row>
    <row r="542">
      <c r="A542" s="3" t="s">
        <v>323</v>
      </c>
      <c r="B542" s="3" t="s">
        <v>220</v>
      </c>
      <c r="C542" s="3" t="s">
        <v>351</v>
      </c>
      <c r="D542" s="4" t="str">
        <f t="shared" si="57"/>
        <v>12Go Link</v>
      </c>
      <c r="E542" s="3" t="s">
        <v>226</v>
      </c>
      <c r="K542" s="5"/>
    </row>
    <row r="543">
      <c r="A543" s="3" t="s">
        <v>323</v>
      </c>
      <c r="B543" s="3" t="s">
        <v>220</v>
      </c>
      <c r="C543" s="3" t="s">
        <v>351</v>
      </c>
      <c r="D543" s="4" t="str">
        <f t="shared" si="57"/>
        <v>12Go Link</v>
      </c>
      <c r="E543" s="3" t="s">
        <v>227</v>
      </c>
      <c r="K543" s="5"/>
    </row>
    <row r="544">
      <c r="A544" s="3" t="s">
        <v>323</v>
      </c>
      <c r="B544" s="3" t="s">
        <v>220</v>
      </c>
      <c r="C544" s="3" t="s">
        <v>351</v>
      </c>
      <c r="D544" s="4" t="str">
        <f t="shared" si="57"/>
        <v>12Go Link</v>
      </c>
      <c r="E544" s="3" t="s">
        <v>228</v>
      </c>
      <c r="K544" s="5"/>
    </row>
    <row r="545">
      <c r="A545" s="3" t="s">
        <v>276</v>
      </c>
      <c r="B545" s="3" t="s">
        <v>220</v>
      </c>
      <c r="C545" s="3" t="s">
        <v>352</v>
      </c>
      <c r="D545" s="4" t="str">
        <f t="shared" ref="D545:D551" si="58">HYPERLINK("https://12go.asia/en/travel/Siem-Reap/Phnom-Penh-Transfer", "12Go Link")</f>
        <v>12Go Link</v>
      </c>
      <c r="E545" s="3" t="s">
        <v>222</v>
      </c>
      <c r="K545" s="5"/>
    </row>
    <row r="546">
      <c r="A546" s="3" t="s">
        <v>276</v>
      </c>
      <c r="B546" s="3" t="s">
        <v>220</v>
      </c>
      <c r="C546" s="3" t="s">
        <v>352</v>
      </c>
      <c r="D546" s="4" t="str">
        <f t="shared" si="58"/>
        <v>12Go Link</v>
      </c>
      <c r="E546" s="3" t="s">
        <v>223</v>
      </c>
      <c r="K546" s="5"/>
    </row>
    <row r="547">
      <c r="A547" s="3" t="s">
        <v>276</v>
      </c>
      <c r="B547" s="3" t="s">
        <v>220</v>
      </c>
      <c r="C547" s="3" t="s">
        <v>352</v>
      </c>
      <c r="D547" s="4" t="str">
        <f t="shared" si="58"/>
        <v>12Go Link</v>
      </c>
      <c r="E547" s="3" t="s">
        <v>224</v>
      </c>
      <c r="K547" s="5"/>
    </row>
    <row r="548">
      <c r="A548" s="3" t="s">
        <v>276</v>
      </c>
      <c r="B548" s="3" t="s">
        <v>220</v>
      </c>
      <c r="C548" s="3" t="s">
        <v>352</v>
      </c>
      <c r="D548" s="4" t="str">
        <f t="shared" si="58"/>
        <v>12Go Link</v>
      </c>
      <c r="E548" s="3" t="s">
        <v>225</v>
      </c>
      <c r="K548" s="5"/>
    </row>
    <row r="549">
      <c r="A549" s="3" t="s">
        <v>276</v>
      </c>
      <c r="B549" s="3" t="s">
        <v>220</v>
      </c>
      <c r="C549" s="3" t="s">
        <v>352</v>
      </c>
      <c r="D549" s="4" t="str">
        <f t="shared" si="58"/>
        <v>12Go Link</v>
      </c>
      <c r="E549" s="3" t="s">
        <v>226</v>
      </c>
      <c r="K549" s="5"/>
    </row>
    <row r="550">
      <c r="A550" s="3" t="s">
        <v>276</v>
      </c>
      <c r="B550" s="3" t="s">
        <v>220</v>
      </c>
      <c r="C550" s="3" t="s">
        <v>352</v>
      </c>
      <c r="D550" s="4" t="str">
        <f t="shared" si="58"/>
        <v>12Go Link</v>
      </c>
      <c r="E550" s="3" t="s">
        <v>227</v>
      </c>
      <c r="K550" s="5"/>
    </row>
    <row r="551">
      <c r="A551" s="3" t="s">
        <v>276</v>
      </c>
      <c r="B551" s="3" t="s">
        <v>220</v>
      </c>
      <c r="C551" s="3" t="s">
        <v>352</v>
      </c>
      <c r="D551" s="4" t="str">
        <f t="shared" si="58"/>
        <v>12Go Link</v>
      </c>
      <c r="E551" s="3" t="s">
        <v>228</v>
      </c>
      <c r="K551" s="5"/>
    </row>
    <row r="552">
      <c r="A552" s="3" t="s">
        <v>276</v>
      </c>
      <c r="B552" s="3" t="s">
        <v>323</v>
      </c>
      <c r="C552" s="3" t="s">
        <v>353</v>
      </c>
      <c r="D552" s="4" t="str">
        <f>HYPERLINK("https://12go.asia/en/travel/Sarah-Transport-Siem-Reap/Banlung", "12Go Link")</f>
        <v>12Go Link</v>
      </c>
      <c r="E552" s="3" t="s">
        <v>354</v>
      </c>
      <c r="K552" s="5"/>
    </row>
    <row r="553">
      <c r="A553" s="3" t="s">
        <v>276</v>
      </c>
      <c r="B553" s="3" t="s">
        <v>326</v>
      </c>
      <c r="C553" s="3" t="s">
        <v>355</v>
      </c>
      <c r="D553" s="4" t="str">
        <f>HYPERLINK("https://12go.asia/en/travel/Sarah-Transport-Siem-Reap/Sarah-Transport-Sihanoukville", "12Go Link")</f>
        <v>12Go Link</v>
      </c>
      <c r="E553" s="3" t="s">
        <v>354</v>
      </c>
      <c r="K553" s="5"/>
    </row>
    <row r="554">
      <c r="A554" s="3" t="s">
        <v>276</v>
      </c>
      <c r="B554" s="3" t="s">
        <v>278</v>
      </c>
      <c r="C554" s="3" t="s">
        <v>356</v>
      </c>
      <c r="D554" s="4" t="str">
        <f>HYPERLINK("https://12go.asia/en/travel/Siem-Reap/Laos-Border", "12Go Link")</f>
        <v>12Go Link</v>
      </c>
      <c r="E554" s="3" t="s">
        <v>346</v>
      </c>
      <c r="K554" s="5"/>
    </row>
    <row r="555">
      <c r="A555" s="3" t="s">
        <v>276</v>
      </c>
      <c r="B555" s="3" t="s">
        <v>238</v>
      </c>
      <c r="C555" s="3" t="s">
        <v>357</v>
      </c>
      <c r="D555" s="4" t="str">
        <f>HYPERLINK("https://12go.asia/en/travel/Siem-Reap/Bangkok-Em-Samang", "12Go Link")</f>
        <v>12Go Link</v>
      </c>
      <c r="E555" s="3" t="s">
        <v>346</v>
      </c>
      <c r="K555" s="5"/>
    </row>
    <row r="556">
      <c r="A556" s="3" t="s">
        <v>276</v>
      </c>
      <c r="B556" s="3" t="s">
        <v>358</v>
      </c>
      <c r="C556" s="3" t="s">
        <v>359</v>
      </c>
      <c r="D556" s="4" t="str">
        <f>HYPERLINK("https://12go.asia/en/travel/Sarah-Transport-Siem-Reap/Sarah-Transport-Pattaya", "12Go Link")</f>
        <v>12Go Link</v>
      </c>
      <c r="E556" s="3" t="s">
        <v>354</v>
      </c>
      <c r="K556" s="5"/>
    </row>
    <row r="557">
      <c r="A557" s="3" t="s">
        <v>326</v>
      </c>
      <c r="B557" s="3" t="s">
        <v>220</v>
      </c>
      <c r="C557" s="3" t="s">
        <v>360</v>
      </c>
      <c r="D557" s="4" t="str">
        <f t="shared" ref="D557:D563" si="59">HYPERLINK("https://12go.asia/en/travel/Sihanoukville/Phnom-Penh-Transfer", "12Go Link")</f>
        <v>12Go Link</v>
      </c>
      <c r="E557" s="3" t="s">
        <v>222</v>
      </c>
      <c r="K557" s="5"/>
    </row>
    <row r="558">
      <c r="A558" s="3" t="s">
        <v>326</v>
      </c>
      <c r="B558" s="3" t="s">
        <v>220</v>
      </c>
      <c r="C558" s="3" t="s">
        <v>360</v>
      </c>
      <c r="D558" s="4" t="str">
        <f t="shared" si="59"/>
        <v>12Go Link</v>
      </c>
      <c r="E558" s="3" t="s">
        <v>223</v>
      </c>
      <c r="K558" s="5"/>
    </row>
    <row r="559">
      <c r="A559" s="3" t="s">
        <v>326</v>
      </c>
      <c r="B559" s="3" t="s">
        <v>220</v>
      </c>
      <c r="C559" s="3" t="s">
        <v>360</v>
      </c>
      <c r="D559" s="4" t="str">
        <f t="shared" si="59"/>
        <v>12Go Link</v>
      </c>
      <c r="E559" s="3" t="s">
        <v>224</v>
      </c>
      <c r="K559" s="5"/>
    </row>
    <row r="560">
      <c r="A560" s="3" t="s">
        <v>326</v>
      </c>
      <c r="B560" s="3" t="s">
        <v>220</v>
      </c>
      <c r="C560" s="3" t="s">
        <v>360</v>
      </c>
      <c r="D560" s="4" t="str">
        <f t="shared" si="59"/>
        <v>12Go Link</v>
      </c>
      <c r="E560" s="3" t="s">
        <v>225</v>
      </c>
      <c r="K560" s="5"/>
    </row>
    <row r="561">
      <c r="A561" s="3" t="s">
        <v>326</v>
      </c>
      <c r="B561" s="3" t="s">
        <v>220</v>
      </c>
      <c r="C561" s="3" t="s">
        <v>360</v>
      </c>
      <c r="D561" s="4" t="str">
        <f t="shared" si="59"/>
        <v>12Go Link</v>
      </c>
      <c r="E561" s="3" t="s">
        <v>226</v>
      </c>
      <c r="K561" s="5"/>
    </row>
    <row r="562">
      <c r="A562" s="3" t="s">
        <v>326</v>
      </c>
      <c r="B562" s="3" t="s">
        <v>220</v>
      </c>
      <c r="C562" s="3" t="s">
        <v>360</v>
      </c>
      <c r="D562" s="4" t="str">
        <f t="shared" si="59"/>
        <v>12Go Link</v>
      </c>
      <c r="E562" s="3" t="s">
        <v>227</v>
      </c>
      <c r="K562" s="5"/>
    </row>
    <row r="563">
      <c r="A563" s="3" t="s">
        <v>326</v>
      </c>
      <c r="B563" s="3" t="s">
        <v>220</v>
      </c>
      <c r="C563" s="3" t="s">
        <v>360</v>
      </c>
      <c r="D563" s="4" t="str">
        <f t="shared" si="59"/>
        <v>12Go Link</v>
      </c>
      <c r="E563" s="3" t="s">
        <v>228</v>
      </c>
      <c r="K563" s="5"/>
    </row>
    <row r="564">
      <c r="A564" s="3" t="s">
        <v>278</v>
      </c>
      <c r="B564" s="3" t="s">
        <v>220</v>
      </c>
      <c r="C564" s="3" t="s">
        <v>361</v>
      </c>
      <c r="D564" s="4" t="str">
        <f t="shared" ref="D564:D570" si="60">HYPERLINK("https://12go.asia/en/travel/Stung-Treng/Phnom-Penh-Transfer", "12Go Link")</f>
        <v>12Go Link</v>
      </c>
      <c r="E564" s="3" t="s">
        <v>222</v>
      </c>
      <c r="K564" s="5"/>
    </row>
    <row r="565">
      <c r="A565" s="3" t="s">
        <v>278</v>
      </c>
      <c r="B565" s="3" t="s">
        <v>220</v>
      </c>
      <c r="C565" s="3" t="s">
        <v>361</v>
      </c>
      <c r="D565" s="4" t="str">
        <f t="shared" si="60"/>
        <v>12Go Link</v>
      </c>
      <c r="E565" s="3" t="s">
        <v>223</v>
      </c>
      <c r="K565" s="5"/>
    </row>
    <row r="566">
      <c r="A566" s="3" t="s">
        <v>278</v>
      </c>
      <c r="B566" s="3" t="s">
        <v>220</v>
      </c>
      <c r="C566" s="3" t="s">
        <v>361</v>
      </c>
      <c r="D566" s="4" t="str">
        <f t="shared" si="60"/>
        <v>12Go Link</v>
      </c>
      <c r="E566" s="3" t="s">
        <v>224</v>
      </c>
      <c r="K566" s="5"/>
    </row>
    <row r="567">
      <c r="A567" s="3" t="s">
        <v>278</v>
      </c>
      <c r="B567" s="3" t="s">
        <v>220</v>
      </c>
      <c r="C567" s="3" t="s">
        <v>361</v>
      </c>
      <c r="D567" s="4" t="str">
        <f t="shared" si="60"/>
        <v>12Go Link</v>
      </c>
      <c r="E567" s="3" t="s">
        <v>225</v>
      </c>
      <c r="K567" s="5"/>
    </row>
    <row r="568">
      <c r="A568" s="3" t="s">
        <v>278</v>
      </c>
      <c r="B568" s="3" t="s">
        <v>220</v>
      </c>
      <c r="C568" s="3" t="s">
        <v>361</v>
      </c>
      <c r="D568" s="4" t="str">
        <f t="shared" si="60"/>
        <v>12Go Link</v>
      </c>
      <c r="E568" s="3" t="s">
        <v>226</v>
      </c>
      <c r="K568" s="5"/>
    </row>
    <row r="569">
      <c r="A569" s="3" t="s">
        <v>278</v>
      </c>
      <c r="B569" s="3" t="s">
        <v>220</v>
      </c>
      <c r="C569" s="3" t="s">
        <v>361</v>
      </c>
      <c r="D569" s="4" t="str">
        <f t="shared" si="60"/>
        <v>12Go Link</v>
      </c>
      <c r="E569" s="3" t="s">
        <v>227</v>
      </c>
      <c r="K569" s="5"/>
    </row>
    <row r="570">
      <c r="A570" s="3" t="s">
        <v>278</v>
      </c>
      <c r="B570" s="3" t="s">
        <v>220</v>
      </c>
      <c r="C570" s="3" t="s">
        <v>361</v>
      </c>
      <c r="D570" s="4" t="str">
        <f t="shared" si="60"/>
        <v>12Go Link</v>
      </c>
      <c r="E570" s="3" t="s">
        <v>228</v>
      </c>
      <c r="K570" s="5"/>
    </row>
    <row r="571">
      <c r="A571" s="3" t="s">
        <v>278</v>
      </c>
      <c r="B571" s="3" t="s">
        <v>276</v>
      </c>
      <c r="C571" s="3" t="s">
        <v>362</v>
      </c>
      <c r="D571" s="4" t="str">
        <f>HYPERLINK("https://12go.asia/en/travel/Laos-Border/Siem-Reap", "12Go Link")</f>
        <v>12Go Link</v>
      </c>
      <c r="E571" s="3" t="s">
        <v>346</v>
      </c>
      <c r="K571" s="5"/>
    </row>
    <row r="572">
      <c r="A572" s="3" t="s">
        <v>278</v>
      </c>
      <c r="B572" s="3" t="s">
        <v>338</v>
      </c>
      <c r="C572" s="3" t="s">
        <v>363</v>
      </c>
      <c r="D572" s="4" t="str">
        <f>HYPERLINK("https://12go.asia/en/travel/Riverside-Restaurant/Champassak-Terminal-West", "12Go Link")</f>
        <v>12Go Link</v>
      </c>
      <c r="E572" s="3" t="s">
        <v>364</v>
      </c>
      <c r="K572" s="5"/>
    </row>
    <row r="573">
      <c r="A573" s="3" t="s">
        <v>278</v>
      </c>
      <c r="B573" s="3" t="s">
        <v>338</v>
      </c>
      <c r="C573" s="3" t="s">
        <v>365</v>
      </c>
      <c r="D573" s="4" t="str">
        <f t="shared" ref="D573:D574" si="61">HYPERLINK("https://12go.asia/en/travel/Riverside-Restaurant/Don-Det", "12Go Link")</f>
        <v>12Go Link</v>
      </c>
      <c r="E573" s="3" t="s">
        <v>366</v>
      </c>
      <c r="K573" s="5"/>
    </row>
    <row r="574">
      <c r="A574" s="3" t="s">
        <v>278</v>
      </c>
      <c r="B574" s="3" t="s">
        <v>338</v>
      </c>
      <c r="C574" s="3" t="s">
        <v>365</v>
      </c>
      <c r="D574" s="4" t="str">
        <f t="shared" si="61"/>
        <v>12Go Link</v>
      </c>
      <c r="E574" s="3" t="s">
        <v>364</v>
      </c>
      <c r="K574" s="5"/>
    </row>
    <row r="575">
      <c r="A575" s="3" t="s">
        <v>278</v>
      </c>
      <c r="B575" s="3" t="s">
        <v>338</v>
      </c>
      <c r="C575" s="3" t="s">
        <v>367</v>
      </c>
      <c r="D575" s="4" t="str">
        <f>HYPERLINK("https://12go.asia/en/travel/Riverside-Restaurant/Don-Khone", "12Go Link")</f>
        <v>12Go Link</v>
      </c>
      <c r="E575" s="3" t="s">
        <v>364</v>
      </c>
      <c r="K575" s="5"/>
    </row>
    <row r="576">
      <c r="A576" s="3" t="s">
        <v>278</v>
      </c>
      <c r="B576" s="3" t="s">
        <v>338</v>
      </c>
      <c r="C576" s="3" t="s">
        <v>368</v>
      </c>
      <c r="D576" s="4" t="str">
        <f>HYPERLINK("https://12go.asia/en/travel/Riverside-Restaurant/Don-Khong", "12Go Link")</f>
        <v>12Go Link</v>
      </c>
      <c r="E576" s="3" t="s">
        <v>364</v>
      </c>
      <c r="K576" s="5"/>
    </row>
    <row r="577">
      <c r="A577" s="3" t="s">
        <v>278</v>
      </c>
      <c r="B577" s="3" t="s">
        <v>369</v>
      </c>
      <c r="C577" s="3" t="s">
        <v>370</v>
      </c>
      <c r="D577" s="4" t="str">
        <f>HYPERLINK("https://12go.asia/en/travel/Riverside-Restaurant/Green-Paradise-Nong-Nok-Khiene-Border", "12Go Link")</f>
        <v>12Go Link</v>
      </c>
      <c r="E577" s="3" t="s">
        <v>366</v>
      </c>
      <c r="K577" s="5"/>
    </row>
    <row r="578">
      <c r="A578" s="3" t="s">
        <v>278</v>
      </c>
      <c r="B578" s="3" t="s">
        <v>371</v>
      </c>
      <c r="C578" s="3" t="s">
        <v>372</v>
      </c>
      <c r="D578" s="4" t="str">
        <f>HYPERLINK("https://12go.asia/en/travel/Riverside-Restaurant/Green-Paradise-Pakse", "12Go Link")</f>
        <v>12Go Link</v>
      </c>
      <c r="E578" s="3" t="s">
        <v>366</v>
      </c>
      <c r="K578" s="5"/>
    </row>
    <row r="579">
      <c r="A579" s="3" t="s">
        <v>278</v>
      </c>
      <c r="B579" s="3" t="s">
        <v>373</v>
      </c>
      <c r="C579" s="3" t="s">
        <v>374</v>
      </c>
      <c r="D579" s="4" t="str">
        <f>HYPERLINK("https://12go.asia/en/travel/Riverside-Restaurant/Thakhek", "12Go Link")</f>
        <v>12Go Link</v>
      </c>
      <c r="E579" s="3" t="s">
        <v>375</v>
      </c>
      <c r="K579" s="5"/>
    </row>
    <row r="580">
      <c r="A580" s="3" t="s">
        <v>278</v>
      </c>
      <c r="B580" s="3" t="s">
        <v>376</v>
      </c>
      <c r="C580" s="3" t="s">
        <v>377</v>
      </c>
      <c r="D580" s="4" t="str">
        <f>HYPERLINK("https://12go.asia/en/travel/Riverside-Restaurant/Vang-Vieng-Bus-Terminal", "12Go Link")</f>
        <v>12Go Link</v>
      </c>
      <c r="E580" s="3" t="s">
        <v>378</v>
      </c>
      <c r="K580" s="5"/>
    </row>
    <row r="581">
      <c r="A581" s="3" t="s">
        <v>278</v>
      </c>
      <c r="B581" s="3" t="s">
        <v>340</v>
      </c>
      <c r="C581" s="3" t="s">
        <v>379</v>
      </c>
      <c r="D581" s="4" t="str">
        <f>HYPERLINK("https://12go.asia/en/travel/Riverside-Restaurant/Vientiane-Southern-Bus-Station", "12Go Link")</f>
        <v>12Go Link</v>
      </c>
      <c r="E581" s="3" t="s">
        <v>375</v>
      </c>
      <c r="K581" s="5"/>
    </row>
    <row r="582">
      <c r="A582" s="3" t="s">
        <v>331</v>
      </c>
      <c r="B582" s="3" t="s">
        <v>220</v>
      </c>
      <c r="C582" s="3" t="s">
        <v>380</v>
      </c>
      <c r="D582" s="4" t="str">
        <f t="shared" ref="D582:D588" si="62">HYPERLINK("https://12go.asia/en/travel/Svay-Rieng/Phnom-Penh-Transfer", "12Go Link")</f>
        <v>12Go Link</v>
      </c>
      <c r="E582" s="3" t="s">
        <v>222</v>
      </c>
      <c r="K582" s="5"/>
    </row>
    <row r="583">
      <c r="A583" s="3" t="s">
        <v>331</v>
      </c>
      <c r="B583" s="3" t="s">
        <v>220</v>
      </c>
      <c r="C583" s="3" t="s">
        <v>380</v>
      </c>
      <c r="D583" s="4" t="str">
        <f t="shared" si="62"/>
        <v>12Go Link</v>
      </c>
      <c r="E583" s="3" t="s">
        <v>223</v>
      </c>
      <c r="K583" s="5"/>
    </row>
    <row r="584">
      <c r="A584" s="3" t="s">
        <v>331</v>
      </c>
      <c r="B584" s="3" t="s">
        <v>220</v>
      </c>
      <c r="C584" s="3" t="s">
        <v>380</v>
      </c>
      <c r="D584" s="4" t="str">
        <f t="shared" si="62"/>
        <v>12Go Link</v>
      </c>
      <c r="E584" s="3" t="s">
        <v>224</v>
      </c>
      <c r="K584" s="5"/>
    </row>
    <row r="585">
      <c r="A585" s="3" t="s">
        <v>331</v>
      </c>
      <c r="B585" s="3" t="s">
        <v>220</v>
      </c>
      <c r="C585" s="3" t="s">
        <v>380</v>
      </c>
      <c r="D585" s="4" t="str">
        <f t="shared" si="62"/>
        <v>12Go Link</v>
      </c>
      <c r="E585" s="3" t="s">
        <v>225</v>
      </c>
      <c r="K585" s="5"/>
    </row>
    <row r="586">
      <c r="A586" s="3" t="s">
        <v>331</v>
      </c>
      <c r="B586" s="3" t="s">
        <v>220</v>
      </c>
      <c r="C586" s="3" t="s">
        <v>380</v>
      </c>
      <c r="D586" s="4" t="str">
        <f t="shared" si="62"/>
        <v>12Go Link</v>
      </c>
      <c r="E586" s="3" t="s">
        <v>226</v>
      </c>
      <c r="K586" s="5"/>
    </row>
    <row r="587">
      <c r="A587" s="3" t="s">
        <v>331</v>
      </c>
      <c r="B587" s="3" t="s">
        <v>220</v>
      </c>
      <c r="C587" s="3" t="s">
        <v>380</v>
      </c>
      <c r="D587" s="4" t="str">
        <f t="shared" si="62"/>
        <v>12Go Link</v>
      </c>
      <c r="E587" s="3" t="s">
        <v>227</v>
      </c>
      <c r="K587" s="5"/>
    </row>
    <row r="588">
      <c r="A588" s="3" t="s">
        <v>331</v>
      </c>
      <c r="B588" s="3" t="s">
        <v>220</v>
      </c>
      <c r="C588" s="3" t="s">
        <v>380</v>
      </c>
      <c r="D588" s="4" t="str">
        <f t="shared" si="62"/>
        <v>12Go Link</v>
      </c>
      <c r="E588" s="3" t="s">
        <v>228</v>
      </c>
      <c r="K588" s="5"/>
    </row>
    <row r="589">
      <c r="A589" s="3" t="s">
        <v>333</v>
      </c>
      <c r="B589" s="3" t="s">
        <v>220</v>
      </c>
      <c r="C589" s="3" t="s">
        <v>381</v>
      </c>
      <c r="D589" s="4" t="str">
        <f t="shared" ref="D589:D595" si="63">HYPERLINK("https://12go.asia/en/travel/Angkor-Borei/Phnom-Penh-Transfer", "12Go Link")</f>
        <v>12Go Link</v>
      </c>
      <c r="E589" s="3" t="s">
        <v>222</v>
      </c>
      <c r="K589" s="5"/>
    </row>
    <row r="590">
      <c r="A590" s="3" t="s">
        <v>333</v>
      </c>
      <c r="B590" s="3" t="s">
        <v>220</v>
      </c>
      <c r="C590" s="3" t="s">
        <v>381</v>
      </c>
      <c r="D590" s="4" t="str">
        <f t="shared" si="63"/>
        <v>12Go Link</v>
      </c>
      <c r="E590" s="3" t="s">
        <v>223</v>
      </c>
      <c r="K590" s="5"/>
    </row>
    <row r="591">
      <c r="A591" s="3" t="s">
        <v>333</v>
      </c>
      <c r="B591" s="3" t="s">
        <v>220</v>
      </c>
      <c r="C591" s="3" t="s">
        <v>381</v>
      </c>
      <c r="D591" s="4" t="str">
        <f t="shared" si="63"/>
        <v>12Go Link</v>
      </c>
      <c r="E591" s="3" t="s">
        <v>224</v>
      </c>
      <c r="K591" s="5"/>
    </row>
    <row r="592">
      <c r="A592" s="3" t="s">
        <v>333</v>
      </c>
      <c r="B592" s="3" t="s">
        <v>220</v>
      </c>
      <c r="C592" s="3" t="s">
        <v>381</v>
      </c>
      <c r="D592" s="4" t="str">
        <f t="shared" si="63"/>
        <v>12Go Link</v>
      </c>
      <c r="E592" s="3" t="s">
        <v>225</v>
      </c>
      <c r="K592" s="5"/>
    </row>
    <row r="593">
      <c r="A593" s="3" t="s">
        <v>333</v>
      </c>
      <c r="B593" s="3" t="s">
        <v>220</v>
      </c>
      <c r="C593" s="3" t="s">
        <v>381</v>
      </c>
      <c r="D593" s="4" t="str">
        <f t="shared" si="63"/>
        <v>12Go Link</v>
      </c>
      <c r="E593" s="3" t="s">
        <v>226</v>
      </c>
      <c r="K593" s="5"/>
    </row>
    <row r="594">
      <c r="A594" s="3" t="s">
        <v>333</v>
      </c>
      <c r="B594" s="3" t="s">
        <v>220</v>
      </c>
      <c r="C594" s="3" t="s">
        <v>381</v>
      </c>
      <c r="D594" s="4" t="str">
        <f t="shared" si="63"/>
        <v>12Go Link</v>
      </c>
      <c r="E594" s="3" t="s">
        <v>227</v>
      </c>
      <c r="K594" s="5"/>
    </row>
    <row r="595">
      <c r="A595" s="3" t="s">
        <v>333</v>
      </c>
      <c r="B595" s="3" t="s">
        <v>220</v>
      </c>
      <c r="C595" s="3" t="s">
        <v>381</v>
      </c>
      <c r="D595" s="4" t="str">
        <f t="shared" si="63"/>
        <v>12Go Link</v>
      </c>
      <c r="E595" s="3" t="s">
        <v>228</v>
      </c>
      <c r="K595" s="5"/>
    </row>
    <row r="596">
      <c r="A596" s="3" t="s">
        <v>333</v>
      </c>
      <c r="B596" s="3" t="s">
        <v>220</v>
      </c>
      <c r="C596" s="3" t="s">
        <v>382</v>
      </c>
      <c r="D596" s="4" t="str">
        <f t="shared" ref="D596:D602" si="64">HYPERLINK("https://12go.asia/en/travel/Chi-So/Phnom-Penh-Transfer", "12Go Link")</f>
        <v>12Go Link</v>
      </c>
      <c r="E596" s="3" t="s">
        <v>222</v>
      </c>
      <c r="K596" s="5"/>
    </row>
    <row r="597">
      <c r="A597" s="3" t="s">
        <v>333</v>
      </c>
      <c r="B597" s="3" t="s">
        <v>220</v>
      </c>
      <c r="C597" s="3" t="s">
        <v>382</v>
      </c>
      <c r="D597" s="4" t="str">
        <f t="shared" si="64"/>
        <v>12Go Link</v>
      </c>
      <c r="E597" s="3" t="s">
        <v>223</v>
      </c>
      <c r="K597" s="5"/>
    </row>
    <row r="598">
      <c r="A598" s="3" t="s">
        <v>333</v>
      </c>
      <c r="B598" s="3" t="s">
        <v>220</v>
      </c>
      <c r="C598" s="3" t="s">
        <v>382</v>
      </c>
      <c r="D598" s="4" t="str">
        <f t="shared" si="64"/>
        <v>12Go Link</v>
      </c>
      <c r="E598" s="3" t="s">
        <v>224</v>
      </c>
      <c r="K598" s="5"/>
    </row>
    <row r="599">
      <c r="A599" s="3" t="s">
        <v>333</v>
      </c>
      <c r="B599" s="3" t="s">
        <v>220</v>
      </c>
      <c r="C599" s="3" t="s">
        <v>382</v>
      </c>
      <c r="D599" s="4" t="str">
        <f t="shared" si="64"/>
        <v>12Go Link</v>
      </c>
      <c r="E599" s="3" t="s">
        <v>225</v>
      </c>
      <c r="K599" s="5"/>
    </row>
    <row r="600">
      <c r="A600" s="3" t="s">
        <v>333</v>
      </c>
      <c r="B600" s="3" t="s">
        <v>220</v>
      </c>
      <c r="C600" s="3" t="s">
        <v>382</v>
      </c>
      <c r="D600" s="4" t="str">
        <f t="shared" si="64"/>
        <v>12Go Link</v>
      </c>
      <c r="E600" s="3" t="s">
        <v>226</v>
      </c>
      <c r="K600" s="5"/>
    </row>
    <row r="601">
      <c r="A601" s="3" t="s">
        <v>333</v>
      </c>
      <c r="B601" s="3" t="s">
        <v>220</v>
      </c>
      <c r="C601" s="3" t="s">
        <v>382</v>
      </c>
      <c r="D601" s="4" t="str">
        <f t="shared" si="64"/>
        <v>12Go Link</v>
      </c>
      <c r="E601" s="3" t="s">
        <v>227</v>
      </c>
      <c r="K601" s="5"/>
    </row>
    <row r="602">
      <c r="A602" s="3" t="s">
        <v>333</v>
      </c>
      <c r="B602" s="3" t="s">
        <v>220</v>
      </c>
      <c r="C602" s="3" t="s">
        <v>382</v>
      </c>
      <c r="D602" s="4" t="str">
        <f t="shared" si="64"/>
        <v>12Go Link</v>
      </c>
      <c r="E602" s="3" t="s">
        <v>228</v>
      </c>
      <c r="K602" s="5"/>
    </row>
    <row r="603">
      <c r="A603" s="3" t="s">
        <v>333</v>
      </c>
      <c r="B603" s="3" t="s">
        <v>220</v>
      </c>
      <c r="C603" s="3" t="s">
        <v>383</v>
      </c>
      <c r="D603" s="4" t="str">
        <f t="shared" ref="D603:D609" si="65">HYPERLINK("https://12go.asia/en/travel/Phnom-Da/Phnom-Penh-Transfer", "12Go Link")</f>
        <v>12Go Link</v>
      </c>
      <c r="E603" s="3" t="s">
        <v>222</v>
      </c>
      <c r="K603" s="5"/>
    </row>
    <row r="604">
      <c r="A604" s="3" t="s">
        <v>333</v>
      </c>
      <c r="B604" s="3" t="s">
        <v>220</v>
      </c>
      <c r="C604" s="3" t="s">
        <v>383</v>
      </c>
      <c r="D604" s="4" t="str">
        <f t="shared" si="65"/>
        <v>12Go Link</v>
      </c>
      <c r="E604" s="3" t="s">
        <v>223</v>
      </c>
      <c r="K604" s="5"/>
    </row>
    <row r="605">
      <c r="A605" s="3" t="s">
        <v>333</v>
      </c>
      <c r="B605" s="3" t="s">
        <v>220</v>
      </c>
      <c r="C605" s="3" t="s">
        <v>383</v>
      </c>
      <c r="D605" s="4" t="str">
        <f t="shared" si="65"/>
        <v>12Go Link</v>
      </c>
      <c r="E605" s="3" t="s">
        <v>224</v>
      </c>
      <c r="K605" s="5"/>
    </row>
    <row r="606">
      <c r="A606" s="3" t="s">
        <v>333</v>
      </c>
      <c r="B606" s="3" t="s">
        <v>220</v>
      </c>
      <c r="C606" s="3" t="s">
        <v>383</v>
      </c>
      <c r="D606" s="4" t="str">
        <f t="shared" si="65"/>
        <v>12Go Link</v>
      </c>
      <c r="E606" s="3" t="s">
        <v>225</v>
      </c>
      <c r="K606" s="5"/>
    </row>
    <row r="607">
      <c r="A607" s="3" t="s">
        <v>333</v>
      </c>
      <c r="B607" s="3" t="s">
        <v>220</v>
      </c>
      <c r="C607" s="3" t="s">
        <v>383</v>
      </c>
      <c r="D607" s="4" t="str">
        <f t="shared" si="65"/>
        <v>12Go Link</v>
      </c>
      <c r="E607" s="3" t="s">
        <v>226</v>
      </c>
      <c r="K607" s="5"/>
    </row>
    <row r="608">
      <c r="A608" s="3" t="s">
        <v>333</v>
      </c>
      <c r="B608" s="3" t="s">
        <v>220</v>
      </c>
      <c r="C608" s="3" t="s">
        <v>383</v>
      </c>
      <c r="D608" s="4" t="str">
        <f t="shared" si="65"/>
        <v>12Go Link</v>
      </c>
      <c r="E608" s="3" t="s">
        <v>227</v>
      </c>
      <c r="K608" s="5"/>
    </row>
    <row r="609">
      <c r="A609" s="3" t="s">
        <v>333</v>
      </c>
      <c r="B609" s="3" t="s">
        <v>220</v>
      </c>
      <c r="C609" s="3" t="s">
        <v>383</v>
      </c>
      <c r="D609" s="4" t="str">
        <f t="shared" si="65"/>
        <v>12Go Link</v>
      </c>
      <c r="E609" s="3" t="s">
        <v>228</v>
      </c>
      <c r="K609" s="5"/>
    </row>
    <row r="610">
      <c r="A610" s="3" t="s">
        <v>333</v>
      </c>
      <c r="B610" s="3" t="s">
        <v>220</v>
      </c>
      <c r="C610" s="3" t="s">
        <v>384</v>
      </c>
      <c r="D610" s="4" t="str">
        <f t="shared" ref="D610:D616" si="66">HYPERLINK("https://12go.asia/en/travel/Tamao/Phnom-Penh-Transfer", "12Go Link")</f>
        <v>12Go Link</v>
      </c>
      <c r="E610" s="3" t="s">
        <v>222</v>
      </c>
      <c r="K610" s="5"/>
    </row>
    <row r="611">
      <c r="A611" s="3" t="s">
        <v>333</v>
      </c>
      <c r="B611" s="3" t="s">
        <v>220</v>
      </c>
      <c r="C611" s="3" t="s">
        <v>384</v>
      </c>
      <c r="D611" s="4" t="str">
        <f t="shared" si="66"/>
        <v>12Go Link</v>
      </c>
      <c r="E611" s="3" t="s">
        <v>223</v>
      </c>
      <c r="K611" s="5"/>
    </row>
    <row r="612">
      <c r="A612" s="3" t="s">
        <v>333</v>
      </c>
      <c r="B612" s="3" t="s">
        <v>220</v>
      </c>
      <c r="C612" s="3" t="s">
        <v>384</v>
      </c>
      <c r="D612" s="4" t="str">
        <f t="shared" si="66"/>
        <v>12Go Link</v>
      </c>
      <c r="E612" s="3" t="s">
        <v>224</v>
      </c>
      <c r="K612" s="5"/>
    </row>
    <row r="613">
      <c r="A613" s="3" t="s">
        <v>333</v>
      </c>
      <c r="B613" s="3" t="s">
        <v>220</v>
      </c>
      <c r="C613" s="3" t="s">
        <v>384</v>
      </c>
      <c r="D613" s="4" t="str">
        <f t="shared" si="66"/>
        <v>12Go Link</v>
      </c>
      <c r="E613" s="3" t="s">
        <v>225</v>
      </c>
      <c r="K613" s="5"/>
    </row>
    <row r="614">
      <c r="A614" s="3" t="s">
        <v>333</v>
      </c>
      <c r="B614" s="3" t="s">
        <v>220</v>
      </c>
      <c r="C614" s="3" t="s">
        <v>384</v>
      </c>
      <c r="D614" s="4" t="str">
        <f t="shared" si="66"/>
        <v>12Go Link</v>
      </c>
      <c r="E614" s="3" t="s">
        <v>226</v>
      </c>
      <c r="K614" s="5"/>
    </row>
    <row r="615">
      <c r="A615" s="3" t="s">
        <v>333</v>
      </c>
      <c r="B615" s="3" t="s">
        <v>220</v>
      </c>
      <c r="C615" s="3" t="s">
        <v>384</v>
      </c>
      <c r="D615" s="4" t="str">
        <f t="shared" si="66"/>
        <v>12Go Link</v>
      </c>
      <c r="E615" s="3" t="s">
        <v>227</v>
      </c>
      <c r="K615" s="5"/>
    </row>
    <row r="616">
      <c r="A616" s="3" t="s">
        <v>333</v>
      </c>
      <c r="B616" s="3" t="s">
        <v>220</v>
      </c>
      <c r="C616" s="3" t="s">
        <v>384</v>
      </c>
      <c r="D616" s="4" t="str">
        <f t="shared" si="66"/>
        <v>12Go Link</v>
      </c>
      <c r="E616" s="3" t="s">
        <v>228</v>
      </c>
      <c r="K616" s="5"/>
    </row>
    <row r="617">
      <c r="A617" s="3" t="s">
        <v>385</v>
      </c>
      <c r="B617" s="3" t="s">
        <v>386</v>
      </c>
      <c r="C617" s="3" t="s">
        <v>387</v>
      </c>
      <c r="D617" s="4" t="str">
        <f>HYPERLINK("https://12go.asia/en/travel/agassiz/winnipeg", "12Go Link")</f>
        <v>12Go Link</v>
      </c>
      <c r="E617" s="3" t="s">
        <v>94</v>
      </c>
      <c r="K617" s="5"/>
    </row>
    <row r="618">
      <c r="A618" s="3" t="s">
        <v>388</v>
      </c>
      <c r="B618" s="3" t="s">
        <v>389</v>
      </c>
      <c r="C618" s="3" t="s">
        <v>390</v>
      </c>
      <c r="D618" s="4" t="str">
        <f>HYPERLINK("https://12go.asia/en/travel/bathurst-new-brunswick/halifax", "12Go Link")</f>
        <v>12Go Link</v>
      </c>
      <c r="E618" s="3" t="s">
        <v>94</v>
      </c>
      <c r="K618" s="5"/>
    </row>
    <row r="619">
      <c r="A619" s="3" t="s">
        <v>391</v>
      </c>
      <c r="B619" s="3" t="s">
        <v>392</v>
      </c>
      <c r="C619" s="3" t="s">
        <v>393</v>
      </c>
      <c r="D619" s="4" t="str">
        <f>HYPERLINK("https://12go.asia/en/travel/belleville-ca/cobourg", "12Go Link")</f>
        <v>12Go Link</v>
      </c>
      <c r="E619" s="3" t="s">
        <v>94</v>
      </c>
      <c r="K619" s="5"/>
    </row>
    <row r="620">
      <c r="A620" s="3" t="s">
        <v>391</v>
      </c>
      <c r="B620" s="3" t="s">
        <v>394</v>
      </c>
      <c r="C620" s="3" t="s">
        <v>395</v>
      </c>
      <c r="D620" s="4" t="str">
        <f>HYPERLINK("https://12go.asia/en/travel/belleville-ca/napanee", "12Go Link")</f>
        <v>12Go Link</v>
      </c>
      <c r="E620" s="3" t="s">
        <v>94</v>
      </c>
      <c r="K620" s="5"/>
    </row>
    <row r="621">
      <c r="A621" s="3" t="s">
        <v>396</v>
      </c>
      <c r="B621" s="3" t="s">
        <v>397</v>
      </c>
      <c r="C621" s="3" t="s">
        <v>398</v>
      </c>
      <c r="D621" s="4" t="str">
        <f>HYPERLINK("https://12go.asia/en/travel/biggar/redditt", "12Go Link")</f>
        <v>12Go Link</v>
      </c>
      <c r="E621" s="3" t="s">
        <v>94</v>
      </c>
      <c r="K621" s="5"/>
    </row>
    <row r="622">
      <c r="A622" s="3" t="s">
        <v>399</v>
      </c>
      <c r="B622" s="3" t="s">
        <v>400</v>
      </c>
      <c r="C622" s="3" t="s">
        <v>401</v>
      </c>
      <c r="D622" s="4" t="str">
        <f>HYPERLINK("https://12go.asia/en/travel/capreol/vancouver", "12Go Link")</f>
        <v>12Go Link</v>
      </c>
      <c r="E622" s="3" t="s">
        <v>94</v>
      </c>
      <c r="K622" s="5"/>
    </row>
    <row r="623">
      <c r="A623" s="3" t="s">
        <v>402</v>
      </c>
      <c r="B623" s="3" t="s">
        <v>403</v>
      </c>
      <c r="C623" s="3" t="s">
        <v>404</v>
      </c>
      <c r="D623" s="4" t="str">
        <f>HYPERLINK("https://12go.asia/en/travel/casselman/alexandria-ca", "12Go Link")</f>
        <v>12Go Link</v>
      </c>
      <c r="E623" s="3" t="s">
        <v>94</v>
      </c>
      <c r="K623" s="5"/>
    </row>
    <row r="624">
      <c r="A624" s="3" t="s">
        <v>402</v>
      </c>
      <c r="B624" s="3" t="s">
        <v>403</v>
      </c>
      <c r="C624" s="3" t="s">
        <v>405</v>
      </c>
      <c r="D624" s="4" t="str">
        <f>HYPERLINK("https://12go.asia/en/travel/casselman/alexandria-ontario", "12Go Link")</f>
        <v>12Go Link</v>
      </c>
      <c r="E624" s="3" t="s">
        <v>94</v>
      </c>
      <c r="K624" s="5"/>
    </row>
    <row r="625">
      <c r="A625" s="3" t="s">
        <v>402</v>
      </c>
      <c r="B625" s="3" t="s">
        <v>406</v>
      </c>
      <c r="C625" s="3" t="s">
        <v>407</v>
      </c>
      <c r="D625" s="4" t="str">
        <f>HYPERLINK("https://12go.asia/en/travel/casselman/quebec", "12Go Link")</f>
        <v>12Go Link</v>
      </c>
      <c r="E625" s="3" t="s">
        <v>94</v>
      </c>
      <c r="K625" s="5"/>
    </row>
    <row r="626">
      <c r="A626" s="3" t="s">
        <v>408</v>
      </c>
      <c r="B626" s="3" t="s">
        <v>409</v>
      </c>
      <c r="C626" s="3" t="s">
        <v>410</v>
      </c>
      <c r="D626" s="4" t="str">
        <f>HYPERLINK("https://12go.asia/en/travel/chatham-ca/glencoe", "12Go Link")</f>
        <v>12Go Link</v>
      </c>
      <c r="E626" s="3" t="s">
        <v>94</v>
      </c>
      <c r="K626" s="5"/>
    </row>
    <row r="627">
      <c r="A627" s="3" t="s">
        <v>411</v>
      </c>
      <c r="B627" s="3" t="s">
        <v>412</v>
      </c>
      <c r="C627" s="3" t="s">
        <v>413</v>
      </c>
      <c r="D627" s="4" t="str">
        <f>HYPERLINK("https://12go.asia/en/travel/chelmsford-ca/larchwood", "12Go Link")</f>
        <v>12Go Link</v>
      </c>
      <c r="E627" s="3" t="s">
        <v>94</v>
      </c>
      <c r="K627" s="5"/>
    </row>
    <row r="628">
      <c r="A628" s="3" t="s">
        <v>411</v>
      </c>
      <c r="B628" s="3" t="s">
        <v>414</v>
      </c>
      <c r="C628" s="3" t="s">
        <v>415</v>
      </c>
      <c r="D628" s="4" t="str">
        <f>HYPERLINK("https://12go.asia/en/travel/chelmsford-ca/sudbury", "12Go Link")</f>
        <v>12Go Link</v>
      </c>
      <c r="E628" s="3" t="s">
        <v>94</v>
      </c>
      <c r="K628" s="5"/>
    </row>
    <row r="629">
      <c r="A629" s="3" t="s">
        <v>416</v>
      </c>
      <c r="B629" s="3" t="s">
        <v>417</v>
      </c>
      <c r="C629" s="3" t="s">
        <v>418</v>
      </c>
      <c r="D629" s="4" t="str">
        <f>HYPERLINK("https://12go.asia/en/travel/clearwater/ashcroft", "12Go Link")</f>
        <v>12Go Link</v>
      </c>
      <c r="E629" s="3" t="s">
        <v>94</v>
      </c>
      <c r="K629" s="5"/>
    </row>
    <row r="630">
      <c r="A630" s="3" t="s">
        <v>392</v>
      </c>
      <c r="B630" s="3" t="s">
        <v>419</v>
      </c>
      <c r="C630" s="3" t="s">
        <v>420</v>
      </c>
      <c r="D630" s="4" t="str">
        <f>HYPERLINK("https://12go.asia/en/travel/cobourg/smiths-falls", "12Go Link")</f>
        <v>12Go Link</v>
      </c>
      <c r="E630" s="3" t="s">
        <v>94</v>
      </c>
      <c r="K630" s="5"/>
    </row>
    <row r="631">
      <c r="A631" s="3" t="s">
        <v>421</v>
      </c>
      <c r="B631" s="3" t="s">
        <v>422</v>
      </c>
      <c r="C631" s="3" t="s">
        <v>423</v>
      </c>
      <c r="D631" s="4" t="str">
        <f>HYPERLINK("https://12go.asia/en/travel/drummondville/bathurst", "12Go Link")</f>
        <v>12Go Link</v>
      </c>
      <c r="E631" s="3" t="s">
        <v>94</v>
      </c>
      <c r="K631" s="5"/>
    </row>
    <row r="632">
      <c r="A632" s="3" t="s">
        <v>421</v>
      </c>
      <c r="B632" s="3" t="s">
        <v>388</v>
      </c>
      <c r="C632" s="3" t="s">
        <v>424</v>
      </c>
      <c r="D632" s="4" t="str">
        <f>HYPERLINK("https://12go.asia/en/travel/drummondville/bathurst-new-brunswick", "12Go Link")</f>
        <v>12Go Link</v>
      </c>
      <c r="E632" s="3" t="s">
        <v>94</v>
      </c>
      <c r="K632" s="5"/>
    </row>
    <row r="633">
      <c r="A633" s="3" t="s">
        <v>421</v>
      </c>
      <c r="B633" s="3" t="s">
        <v>425</v>
      </c>
      <c r="C633" s="3" t="s">
        <v>426</v>
      </c>
      <c r="D633" s="4" t="str">
        <f>HYPERLINK("https://12go.asia/en/travel/drummondville/mont-joli", "12Go Link")</f>
        <v>12Go Link</v>
      </c>
      <c r="E633" s="3" t="s">
        <v>94</v>
      </c>
      <c r="K633" s="5"/>
    </row>
    <row r="634">
      <c r="A634" s="3" t="s">
        <v>427</v>
      </c>
      <c r="B634" s="3" t="s">
        <v>428</v>
      </c>
      <c r="C634" s="3" t="s">
        <v>429</v>
      </c>
      <c r="D634" s="4" t="str">
        <f>HYPERLINK("https://12go.asia/en/travel/edmonton/parry-sound", "12Go Link")</f>
        <v>12Go Link</v>
      </c>
      <c r="E634" s="3" t="s">
        <v>94</v>
      </c>
      <c r="K634" s="5"/>
    </row>
    <row r="635">
      <c r="A635" s="3" t="s">
        <v>427</v>
      </c>
      <c r="B635" s="3" t="s">
        <v>430</v>
      </c>
      <c r="C635" s="3" t="s">
        <v>431</v>
      </c>
      <c r="D635" s="4" t="str">
        <f>HYPERLINK("https://12go.asia/en/travel/edmonton/rivers", "12Go Link")</f>
        <v>12Go Link</v>
      </c>
      <c r="E635" s="3" t="s">
        <v>94</v>
      </c>
      <c r="K635" s="5"/>
    </row>
    <row r="636">
      <c r="A636" s="3" t="s">
        <v>427</v>
      </c>
      <c r="B636" s="3" t="s">
        <v>432</v>
      </c>
      <c r="C636" s="3" t="s">
        <v>433</v>
      </c>
      <c r="D636" s="4" t="str">
        <f>HYPERLINK("https://12go.asia/en/travel/edmonton/southport-airport", "12Go Link")</f>
        <v>12Go Link</v>
      </c>
      <c r="E636" s="3" t="s">
        <v>94</v>
      </c>
      <c r="K636" s="5"/>
    </row>
    <row r="637">
      <c r="A637" s="3" t="s">
        <v>434</v>
      </c>
      <c r="B637" s="3" t="s">
        <v>417</v>
      </c>
      <c r="C637" s="3" t="s">
        <v>435</v>
      </c>
      <c r="D637" s="4" t="str">
        <f>HYPERLINK("https://12go.asia/en/travel/elma/ashcroft", "12Go Link")</f>
        <v>12Go Link</v>
      </c>
      <c r="E637" s="3" t="s">
        <v>94</v>
      </c>
      <c r="K637" s="5"/>
    </row>
    <row r="638">
      <c r="A638" s="3" t="s">
        <v>434</v>
      </c>
      <c r="B638" s="3" t="s">
        <v>436</v>
      </c>
      <c r="C638" s="3" t="s">
        <v>437</v>
      </c>
      <c r="D638" s="4" t="str">
        <f>HYPERLINK("https://12go.asia/en/travel/elma/minaki", "12Go Link")</f>
        <v>12Go Link</v>
      </c>
      <c r="E638" s="3" t="s">
        <v>94</v>
      </c>
      <c r="K638" s="5"/>
    </row>
    <row r="639">
      <c r="A639" s="3" t="s">
        <v>434</v>
      </c>
      <c r="B639" s="3" t="s">
        <v>438</v>
      </c>
      <c r="C639" s="3" t="s">
        <v>439</v>
      </c>
      <c r="D639" s="4" t="str">
        <f>HYPERLINK("https://12go.asia/en/travel/elma/portage-la-prairie", "12Go Link")</f>
        <v>12Go Link</v>
      </c>
      <c r="E639" s="3" t="s">
        <v>94</v>
      </c>
      <c r="K639" s="5"/>
    </row>
    <row r="640">
      <c r="A640" s="3" t="s">
        <v>434</v>
      </c>
      <c r="B640" s="3" t="s">
        <v>440</v>
      </c>
      <c r="C640" s="3" t="s">
        <v>441</v>
      </c>
      <c r="D640" s="4" t="str">
        <f>HYPERLINK("https://12go.asia/en/travel/elma/wainwright-ca", "12Go Link")</f>
        <v>12Go Link</v>
      </c>
      <c r="E640" s="3" t="s">
        <v>94</v>
      </c>
      <c r="K640" s="5"/>
    </row>
    <row r="641">
      <c r="A641" s="3" t="s">
        <v>434</v>
      </c>
      <c r="B641" s="3" t="s">
        <v>442</v>
      </c>
      <c r="C641" s="3" t="s">
        <v>443</v>
      </c>
      <c r="D641" s="4" t="str">
        <f>HYPERLINK("https://12go.asia/en/travel/elma/wainwright", "12Go Link")</f>
        <v>12Go Link</v>
      </c>
      <c r="E641" s="3" t="s">
        <v>94</v>
      </c>
      <c r="K641" s="5"/>
    </row>
    <row r="642">
      <c r="A642" s="3" t="s">
        <v>444</v>
      </c>
      <c r="B642" s="3" t="s">
        <v>445</v>
      </c>
      <c r="C642" s="3" t="s">
        <v>446</v>
      </c>
      <c r="D642" s="4" t="str">
        <f>HYPERLINK("https://12go.asia/en/travel/gladstone-ca/gilbert-plains", "12Go Link")</f>
        <v>12Go Link</v>
      </c>
      <c r="E642" s="3" t="s">
        <v>94</v>
      </c>
      <c r="K642" s="5"/>
    </row>
    <row r="643">
      <c r="A643" s="3" t="s">
        <v>444</v>
      </c>
      <c r="B643" s="3" t="s">
        <v>92</v>
      </c>
      <c r="C643" s="3" t="s">
        <v>447</v>
      </c>
      <c r="D643" s="4" t="str">
        <f>HYPERLINK("https://12go.asia/en/travel/gladstone-ca/grandview", "12Go Link")</f>
        <v>12Go Link</v>
      </c>
      <c r="E643" s="3" t="s">
        <v>94</v>
      </c>
      <c r="K643" s="5"/>
    </row>
    <row r="644">
      <c r="A644" s="3" t="s">
        <v>444</v>
      </c>
      <c r="B644" s="3" t="s">
        <v>95</v>
      </c>
      <c r="C644" s="3" t="s">
        <v>448</v>
      </c>
      <c r="D644" s="4" t="str">
        <f>HYPERLINK("https://12go.asia/en/travel/gladstone-ca/ochre-river", "12Go Link")</f>
        <v>12Go Link</v>
      </c>
      <c r="E644" s="3" t="s">
        <v>94</v>
      </c>
      <c r="K644" s="5"/>
    </row>
    <row r="645">
      <c r="A645" s="3" t="s">
        <v>444</v>
      </c>
      <c r="B645" s="3" t="s">
        <v>97</v>
      </c>
      <c r="C645" s="3" t="s">
        <v>449</v>
      </c>
      <c r="D645" s="4" t="str">
        <f>HYPERLINK("https://12go.asia/en/travel/gladstone-ca/plumas", "12Go Link")</f>
        <v>12Go Link</v>
      </c>
      <c r="E645" s="3" t="s">
        <v>94</v>
      </c>
      <c r="K645" s="5"/>
    </row>
    <row r="646">
      <c r="A646" s="3" t="s">
        <v>444</v>
      </c>
      <c r="B646" s="3" t="s">
        <v>99</v>
      </c>
      <c r="C646" s="3" t="s">
        <v>450</v>
      </c>
      <c r="D646" s="4" t="str">
        <f>HYPERLINK("https://12go.asia/en/travel/gladstone-ca/thicket-portage", "12Go Link")</f>
        <v>12Go Link</v>
      </c>
      <c r="E646" s="3" t="s">
        <v>94</v>
      </c>
      <c r="K646" s="5"/>
    </row>
    <row r="647">
      <c r="A647" s="3" t="s">
        <v>409</v>
      </c>
      <c r="B647" s="3" t="s">
        <v>451</v>
      </c>
      <c r="C647" s="3" t="s">
        <v>452</v>
      </c>
      <c r="D647" s="4" t="str">
        <f>HYPERLINK("https://12go.asia/en/travel/glencoe/brantford", "12Go Link")</f>
        <v>12Go Link</v>
      </c>
      <c r="E647" s="3" t="s">
        <v>94</v>
      </c>
      <c r="K647" s="5"/>
    </row>
    <row r="648">
      <c r="A648" s="3" t="s">
        <v>453</v>
      </c>
      <c r="B648" s="3" t="s">
        <v>454</v>
      </c>
      <c r="C648" s="3" t="s">
        <v>455</v>
      </c>
      <c r="D648" s="4" t="str">
        <f>HYPERLINK("https://12go.asia/en/travel/kingston-ontario/port-hope", "12Go Link")</f>
        <v>12Go Link</v>
      </c>
      <c r="E648" s="3" t="s">
        <v>94</v>
      </c>
      <c r="K648" s="5"/>
    </row>
    <row r="649">
      <c r="A649" s="3" t="s">
        <v>456</v>
      </c>
      <c r="B649" s="3" t="s">
        <v>457</v>
      </c>
      <c r="C649" s="3" t="s">
        <v>458</v>
      </c>
      <c r="D649" s="4" t="str">
        <f>HYPERLINK("https://12go.asia/en/travel/kitwanga/new-hazelton", "12Go Link")</f>
        <v>12Go Link</v>
      </c>
      <c r="E649" s="3" t="s">
        <v>94</v>
      </c>
      <c r="K649" s="5"/>
    </row>
    <row r="650">
      <c r="A650" s="3" t="s">
        <v>459</v>
      </c>
      <c r="B650" s="3" t="s">
        <v>438</v>
      </c>
      <c r="C650" s="3" t="s">
        <v>460</v>
      </c>
      <c r="D650" s="4" t="str">
        <f>HYPERLINK("https://12go.asia/en/travel/longlac/portage-la-prairie", "12Go Link")</f>
        <v>12Go Link</v>
      </c>
      <c r="E650" s="3" t="s">
        <v>94</v>
      </c>
      <c r="K650" s="5"/>
    </row>
    <row r="651">
      <c r="A651" s="3" t="s">
        <v>459</v>
      </c>
      <c r="B651" s="3" t="s">
        <v>397</v>
      </c>
      <c r="C651" s="3" t="s">
        <v>461</v>
      </c>
      <c r="D651" s="4" t="str">
        <f>HYPERLINK("https://12go.asia/en/travel/longlac/redditt", "12Go Link")</f>
        <v>12Go Link</v>
      </c>
      <c r="E651" s="3" t="s">
        <v>94</v>
      </c>
      <c r="K651" s="5"/>
    </row>
    <row r="652">
      <c r="A652" s="3" t="s">
        <v>459</v>
      </c>
      <c r="B652" s="3" t="s">
        <v>462</v>
      </c>
      <c r="C652" s="3" t="s">
        <v>463</v>
      </c>
      <c r="D652" s="4" t="str">
        <f>HYPERLINK("https://12go.asia/en/travel/longlac/washago", "12Go Link")</f>
        <v>12Go Link</v>
      </c>
      <c r="E652" s="3" t="s">
        <v>94</v>
      </c>
      <c r="K652" s="5"/>
    </row>
    <row r="653">
      <c r="A653" s="3" t="s">
        <v>464</v>
      </c>
      <c r="B653" s="3" t="s">
        <v>465</v>
      </c>
      <c r="C653" s="3" t="s">
        <v>466</v>
      </c>
      <c r="D653" s="4" t="str">
        <f>HYPERLINK("https://12go.asia/en/travel/melville/unity", "12Go Link")</f>
        <v>12Go Link</v>
      </c>
      <c r="E653" s="3" t="s">
        <v>94</v>
      </c>
      <c r="K653" s="5"/>
    </row>
    <row r="654">
      <c r="A654" s="3" t="s">
        <v>464</v>
      </c>
      <c r="B654" s="3" t="s">
        <v>440</v>
      </c>
      <c r="C654" s="3" t="s">
        <v>467</v>
      </c>
      <c r="D654" s="4" t="str">
        <f>HYPERLINK("https://12go.asia/en/travel/melville/wainwright-ca", "12Go Link")</f>
        <v>12Go Link</v>
      </c>
      <c r="E654" s="3" t="s">
        <v>94</v>
      </c>
      <c r="K654" s="5"/>
    </row>
    <row r="655">
      <c r="A655" s="3" t="s">
        <v>464</v>
      </c>
      <c r="B655" s="3" t="s">
        <v>442</v>
      </c>
      <c r="C655" s="3" t="s">
        <v>468</v>
      </c>
      <c r="D655" s="4" t="str">
        <f>HYPERLINK("https://12go.asia/en/travel/melville/wainwright", "12Go Link")</f>
        <v>12Go Link</v>
      </c>
      <c r="E655" s="3" t="s">
        <v>94</v>
      </c>
      <c r="K655" s="5"/>
    </row>
    <row r="656">
      <c r="A656" s="3" t="s">
        <v>454</v>
      </c>
      <c r="B656" s="3" t="s">
        <v>469</v>
      </c>
      <c r="C656" s="3" t="s">
        <v>470</v>
      </c>
      <c r="D656" s="4" t="str">
        <f>HYPERLINK("https://12go.asia/en/travel/port-hope/ottawa", "12Go Link")</f>
        <v>12Go Link</v>
      </c>
      <c r="E656" s="3" t="s">
        <v>94</v>
      </c>
      <c r="K656" s="5"/>
    </row>
    <row r="657">
      <c r="A657" s="3" t="s">
        <v>430</v>
      </c>
      <c r="B657" s="3" t="s">
        <v>427</v>
      </c>
      <c r="C657" s="3" t="s">
        <v>471</v>
      </c>
      <c r="D657" s="4" t="str">
        <f>HYPERLINK("https://12go.asia/en/travel/rivers/edmonton", "12Go Link")</f>
        <v>12Go Link</v>
      </c>
      <c r="E657" s="3" t="s">
        <v>94</v>
      </c>
      <c r="K657" s="5"/>
    </row>
    <row r="658">
      <c r="A658" s="3" t="s">
        <v>430</v>
      </c>
      <c r="B658" s="3" t="s">
        <v>434</v>
      </c>
      <c r="C658" s="3" t="s">
        <v>472</v>
      </c>
      <c r="D658" s="4" t="str">
        <f>HYPERLINK("https://12go.asia/en/travel/rivers/elma", "12Go Link")</f>
        <v>12Go Link</v>
      </c>
      <c r="E658" s="3" t="s">
        <v>94</v>
      </c>
      <c r="K658" s="5"/>
    </row>
    <row r="659">
      <c r="A659" s="3" t="s">
        <v>430</v>
      </c>
      <c r="B659" s="3" t="s">
        <v>436</v>
      </c>
      <c r="C659" s="3" t="s">
        <v>473</v>
      </c>
      <c r="D659" s="4" t="str">
        <f>HYPERLINK("https://12go.asia/en/travel/rivers/minaki", "12Go Link")</f>
        <v>12Go Link</v>
      </c>
      <c r="E659" s="3" t="s">
        <v>94</v>
      </c>
      <c r="K659" s="5"/>
    </row>
    <row r="660">
      <c r="A660" s="3" t="s">
        <v>430</v>
      </c>
      <c r="B660" s="3" t="s">
        <v>474</v>
      </c>
      <c r="C660" s="3" t="s">
        <v>475</v>
      </c>
      <c r="D660" s="4" t="str">
        <f>HYPERLINK("https://12go.asia/en/travel/rivers/nakina", "12Go Link")</f>
        <v>12Go Link</v>
      </c>
      <c r="E660" s="3" t="s">
        <v>94</v>
      </c>
      <c r="K660" s="5"/>
    </row>
    <row r="661">
      <c r="A661" s="3" t="s">
        <v>430</v>
      </c>
      <c r="B661" s="3" t="s">
        <v>474</v>
      </c>
      <c r="C661" s="3" t="s">
        <v>476</v>
      </c>
      <c r="D661" s="4" t="str">
        <f>HYPERLINK("https://12go.asia/en/travel/rivers/nakina-ontario", "12Go Link")</f>
        <v>12Go Link</v>
      </c>
      <c r="E661" s="3" t="s">
        <v>94</v>
      </c>
      <c r="K661" s="5"/>
    </row>
    <row r="662">
      <c r="A662" s="3" t="s">
        <v>430</v>
      </c>
      <c r="B662" s="3" t="s">
        <v>477</v>
      </c>
      <c r="C662" s="3" t="s">
        <v>478</v>
      </c>
      <c r="D662" s="4" t="str">
        <f>HYPERLINK("https://12go.asia/en/travel/rivers/saskatoon", "12Go Link")</f>
        <v>12Go Link</v>
      </c>
      <c r="E662" s="3" t="s">
        <v>94</v>
      </c>
      <c r="K662" s="5"/>
    </row>
    <row r="663">
      <c r="A663" s="3" t="s">
        <v>430</v>
      </c>
      <c r="B663" s="3" t="s">
        <v>400</v>
      </c>
      <c r="C663" s="3" t="s">
        <v>479</v>
      </c>
      <c r="D663" s="4" t="str">
        <f>HYPERLINK("https://12go.asia/en/travel/rivers/vancouver", "12Go Link")</f>
        <v>12Go Link</v>
      </c>
      <c r="E663" s="3" t="s">
        <v>94</v>
      </c>
      <c r="K663" s="5"/>
    </row>
    <row r="664">
      <c r="A664" s="3" t="s">
        <v>480</v>
      </c>
      <c r="B664" s="3" t="s">
        <v>481</v>
      </c>
      <c r="C664" s="3" t="s">
        <v>482</v>
      </c>
      <c r="D664" s="4" t="str">
        <f>HYPERLINK("https://12go.asia/en/travel/roblin/churchill", "12Go Link")</f>
        <v>12Go Link</v>
      </c>
      <c r="E664" s="3" t="s">
        <v>94</v>
      </c>
      <c r="K664" s="5"/>
    </row>
    <row r="665">
      <c r="A665" s="3" t="s">
        <v>480</v>
      </c>
      <c r="B665" s="3" t="s">
        <v>483</v>
      </c>
      <c r="C665" s="3" t="s">
        <v>484</v>
      </c>
      <c r="D665" s="4" t="str">
        <f>HYPERLINK("https://12go.asia/en/travel/roblin/dauphin", "12Go Link")</f>
        <v>12Go Link</v>
      </c>
      <c r="E665" s="3" t="s">
        <v>94</v>
      </c>
      <c r="K665" s="5"/>
    </row>
    <row r="666">
      <c r="A666" s="3" t="s">
        <v>480</v>
      </c>
      <c r="B666" s="3" t="s">
        <v>99</v>
      </c>
      <c r="C666" s="3" t="s">
        <v>485</v>
      </c>
      <c r="D666" s="4" t="str">
        <f>HYPERLINK("https://12go.asia/en/travel/roblin/thicket-portage", "12Go Link")</f>
        <v>12Go Link</v>
      </c>
      <c r="E666" s="3" t="s">
        <v>94</v>
      </c>
      <c r="K666" s="5"/>
    </row>
    <row r="667">
      <c r="A667" s="3" t="s">
        <v>486</v>
      </c>
      <c r="B667" s="3" t="s">
        <v>487</v>
      </c>
      <c r="C667" s="3" t="s">
        <v>488</v>
      </c>
      <c r="D667" s="4" t="str">
        <f>HYPERLINK("https://12go.asia/en/travel/rogersville/petit-rocher", "12Go Link")</f>
        <v>12Go Link</v>
      </c>
      <c r="E667" s="3" t="s">
        <v>94</v>
      </c>
      <c r="K667" s="5"/>
    </row>
    <row r="668">
      <c r="A668" s="3" t="s">
        <v>489</v>
      </c>
      <c r="B668" s="3" t="s">
        <v>490</v>
      </c>
      <c r="C668" s="3" t="s">
        <v>491</v>
      </c>
      <c r="D668" s="4" t="str">
        <f>HYPERLINK("https://12go.asia/en/travel/saint-paulin/beaudet", "12Go Link")</f>
        <v>12Go Link</v>
      </c>
      <c r="E668" s="3" t="s">
        <v>94</v>
      </c>
      <c r="K668" s="5"/>
    </row>
    <row r="669">
      <c r="A669" s="3" t="s">
        <v>489</v>
      </c>
      <c r="B669" s="3" t="s">
        <v>490</v>
      </c>
      <c r="C669" s="3" t="s">
        <v>492</v>
      </c>
      <c r="D669" s="4" t="str">
        <f>HYPERLINK("https://12go.asia/en/travel/saint-paulin/pont-beaudet", "12Go Link")</f>
        <v>12Go Link</v>
      </c>
      <c r="E669" s="3" t="s">
        <v>94</v>
      </c>
      <c r="K669" s="5"/>
    </row>
    <row r="670">
      <c r="A670" s="3" t="s">
        <v>489</v>
      </c>
      <c r="B670" s="3" t="s">
        <v>493</v>
      </c>
      <c r="C670" s="3" t="s">
        <v>494</v>
      </c>
      <c r="D670" s="4" t="str">
        <f>HYPERLINK("https://12go.asia/en/travel/saint-paulin/joliette", "12Go Link")</f>
        <v>12Go Link</v>
      </c>
      <c r="E670" s="3" t="s">
        <v>94</v>
      </c>
      <c r="K670" s="5"/>
    </row>
    <row r="671">
      <c r="A671" s="3" t="s">
        <v>495</v>
      </c>
      <c r="B671" s="3" t="s">
        <v>427</v>
      </c>
      <c r="C671" s="3" t="s">
        <v>496</v>
      </c>
      <c r="D671" s="4" t="str">
        <f>HYPERLINK("https://12go.asia/en/travel/sioux-lookout/edmonton", "12Go Link")</f>
        <v>12Go Link</v>
      </c>
      <c r="E671" s="3" t="s">
        <v>94</v>
      </c>
      <c r="K671" s="5"/>
    </row>
    <row r="672">
      <c r="A672" s="3" t="s">
        <v>495</v>
      </c>
      <c r="B672" s="3" t="s">
        <v>400</v>
      </c>
      <c r="C672" s="3" t="s">
        <v>497</v>
      </c>
      <c r="D672" s="4" t="str">
        <f>HYPERLINK("https://12go.asia/en/travel/sioux-lookout/vancouver", "12Go Link")</f>
        <v>12Go Link</v>
      </c>
      <c r="E672" s="3" t="s">
        <v>94</v>
      </c>
      <c r="K672" s="5"/>
    </row>
    <row r="673">
      <c r="A673" s="3" t="s">
        <v>495</v>
      </c>
      <c r="B673" s="3" t="s">
        <v>462</v>
      </c>
      <c r="C673" s="3" t="s">
        <v>498</v>
      </c>
      <c r="D673" s="4" t="str">
        <f>HYPERLINK("https://12go.asia/en/travel/sioux-lookout/washago", "12Go Link")</f>
        <v>12Go Link</v>
      </c>
      <c r="E673" s="3" t="s">
        <v>94</v>
      </c>
      <c r="K673" s="5"/>
    </row>
    <row r="674">
      <c r="A674" s="3" t="s">
        <v>432</v>
      </c>
      <c r="B674" s="3" t="s">
        <v>386</v>
      </c>
      <c r="C674" s="3" t="s">
        <v>499</v>
      </c>
      <c r="D674" s="4" t="str">
        <f>HYPERLINK("https://12go.asia/en/travel/southport-airport/winnipeg", "12Go Link")</f>
        <v>12Go Link</v>
      </c>
      <c r="E674" s="3" t="s">
        <v>94</v>
      </c>
      <c r="K674" s="5"/>
    </row>
    <row r="675">
      <c r="A675" s="3" t="s">
        <v>414</v>
      </c>
      <c r="B675" s="3" t="s">
        <v>500</v>
      </c>
      <c r="C675" s="3" t="s">
        <v>501</v>
      </c>
      <c r="D675" s="4" t="str">
        <f>HYPERLINK("https://12go.asia/en/travel/sudbury/white-river", "12Go Link")</f>
        <v>12Go Link</v>
      </c>
      <c r="E675" s="3" t="s">
        <v>94</v>
      </c>
      <c r="K675" s="5"/>
    </row>
    <row r="676">
      <c r="A676" s="3" t="s">
        <v>502</v>
      </c>
      <c r="B676" s="3" t="s">
        <v>503</v>
      </c>
      <c r="C676" s="3" t="s">
        <v>504</v>
      </c>
      <c r="D676" s="4" t="str">
        <f>HYPERLINK("https://12go.asia/en/travel/telkwa/smithers", "12Go Link")</f>
        <v>12Go Link</v>
      </c>
      <c r="E676" s="3" t="s">
        <v>94</v>
      </c>
      <c r="K676" s="5"/>
    </row>
    <row r="677">
      <c r="A677" s="3" t="s">
        <v>505</v>
      </c>
      <c r="B677" s="3" t="s">
        <v>495</v>
      </c>
      <c r="C677" s="3" t="s">
        <v>506</v>
      </c>
      <c r="D677" s="4" t="str">
        <f>HYPERLINK("https://12go.asia/en/travel/toronto-union/sioux-lookout", "12Go Link")</f>
        <v>12Go Link</v>
      </c>
      <c r="E677" s="3" t="s">
        <v>94</v>
      </c>
      <c r="K677" s="5"/>
    </row>
    <row r="678">
      <c r="A678" s="3" t="s">
        <v>440</v>
      </c>
      <c r="B678" s="3" t="s">
        <v>507</v>
      </c>
      <c r="C678" s="3" t="s">
        <v>508</v>
      </c>
      <c r="D678" s="4" t="str">
        <f>HYPERLINK("https://12go.asia/en/travel/wainwright-ca/hinton", "12Go Link")</f>
        <v>12Go Link</v>
      </c>
      <c r="E678" s="3" t="s">
        <v>94</v>
      </c>
      <c r="K678" s="5"/>
    </row>
    <row r="679">
      <c r="A679" s="3" t="s">
        <v>440</v>
      </c>
      <c r="B679" s="3" t="s">
        <v>386</v>
      </c>
      <c r="C679" s="3" t="s">
        <v>509</v>
      </c>
      <c r="D679" s="4" t="str">
        <f>HYPERLINK("https://12go.asia/en/travel/wainwright-ca/winnipeg", "12Go Link")</f>
        <v>12Go Link</v>
      </c>
      <c r="E679" s="3" t="s">
        <v>94</v>
      </c>
      <c r="K679" s="5"/>
    </row>
    <row r="680">
      <c r="A680" s="3" t="s">
        <v>462</v>
      </c>
      <c r="B680" s="3" t="s">
        <v>495</v>
      </c>
      <c r="C680" s="3" t="s">
        <v>510</v>
      </c>
      <c r="D680" s="4" t="str">
        <f>HYPERLINK("https://12go.asia/en/travel/washago/sioux-lookout", "12Go Link")</f>
        <v>12Go Link</v>
      </c>
      <c r="E680" s="3" t="s">
        <v>94</v>
      </c>
      <c r="K680" s="5"/>
    </row>
    <row r="681">
      <c r="A681" s="3" t="s">
        <v>511</v>
      </c>
      <c r="B681" s="3" t="s">
        <v>512</v>
      </c>
      <c r="C681" s="3" t="s">
        <v>513</v>
      </c>
      <c r="D681" s="4" t="str">
        <f>HYPERLINK("https://12go.asia/en/travel/ankang/shanghai", "12Go Link")</f>
        <v>12Go Link</v>
      </c>
      <c r="E681" s="3" t="s">
        <v>94</v>
      </c>
      <c r="K681" s="5"/>
    </row>
    <row r="682">
      <c r="A682" s="3" t="s">
        <v>511</v>
      </c>
      <c r="B682" s="3" t="s">
        <v>512</v>
      </c>
      <c r="C682" s="3" t="s">
        <v>514</v>
      </c>
      <c r="D682" s="4" t="str">
        <f>HYPERLINK("https://12go.asia/en/travel/ankang/shanghai-south", "12Go Link")</f>
        <v>12Go Link</v>
      </c>
      <c r="E682" s="3" t="s">
        <v>94</v>
      </c>
      <c r="K682" s="5"/>
    </row>
    <row r="683">
      <c r="A683" s="3" t="s">
        <v>515</v>
      </c>
      <c r="B683" s="3" t="s">
        <v>516</v>
      </c>
      <c r="C683" s="3" t="s">
        <v>517</v>
      </c>
      <c r="D683" s="4" t="str">
        <f>HYPERLINK("https://12go.asia/en/travel/anyang-east/binhai-west", "12Go Link")</f>
        <v>12Go Link</v>
      </c>
      <c r="E683" s="3" t="s">
        <v>94</v>
      </c>
      <c r="K683" s="5"/>
    </row>
    <row r="684">
      <c r="A684" s="3" t="s">
        <v>515</v>
      </c>
      <c r="B684" s="3" t="s">
        <v>516</v>
      </c>
      <c r="C684" s="3" t="s">
        <v>518</v>
      </c>
      <c r="D684" s="4" t="str">
        <f>HYPERLINK("https://12go.asia/en/travel/anyang/binhai", "12Go Link")</f>
        <v>12Go Link</v>
      </c>
      <c r="E684" s="3" t="s">
        <v>94</v>
      </c>
      <c r="K684" s="5"/>
    </row>
    <row r="685">
      <c r="A685" s="3" t="s">
        <v>515</v>
      </c>
      <c r="B685" s="3" t="s">
        <v>516</v>
      </c>
      <c r="C685" s="3" t="s">
        <v>519</v>
      </c>
      <c r="D685" s="4" t="str">
        <f>HYPERLINK("https://12go.asia/en/travel/anyang/tanggu", "12Go Link")</f>
        <v>12Go Link</v>
      </c>
      <c r="E685" s="3" t="s">
        <v>94</v>
      </c>
      <c r="K685" s="5"/>
    </row>
    <row r="686">
      <c r="A686" s="3" t="s">
        <v>515</v>
      </c>
      <c r="B686" s="3" t="s">
        <v>520</v>
      </c>
      <c r="C686" s="3" t="s">
        <v>521</v>
      </c>
      <c r="D686" s="4" t="str">
        <f>HYPERLINK("https://12go.asia/en/travel/anyang/gansu", "12Go Link")</f>
        <v>12Go Link</v>
      </c>
      <c r="E686" s="3" t="s">
        <v>94</v>
      </c>
      <c r="K686" s="5"/>
    </row>
    <row r="687">
      <c r="A687" s="3" t="s">
        <v>515</v>
      </c>
      <c r="B687" s="3" t="s">
        <v>522</v>
      </c>
      <c r="C687" s="3" t="s">
        <v>523</v>
      </c>
      <c r="D687" s="4" t="str">
        <f>HYPERLINK("https://12go.asia/en/travel/anyang/guizhou", "12Go Link")</f>
        <v>12Go Link</v>
      </c>
      <c r="E687" s="3" t="s">
        <v>94</v>
      </c>
      <c r="K687" s="5"/>
    </row>
    <row r="688">
      <c r="A688" s="3" t="s">
        <v>515</v>
      </c>
      <c r="B688" s="3" t="s">
        <v>524</v>
      </c>
      <c r="C688" s="3" t="s">
        <v>525</v>
      </c>
      <c r="D688" s="4" t="str">
        <f>HYPERLINK("https://12go.asia/en/travel/anyang/guzhang", "12Go Link")</f>
        <v>12Go Link</v>
      </c>
      <c r="E688" s="3" t="s">
        <v>94</v>
      </c>
      <c r="K688" s="5"/>
    </row>
    <row r="689">
      <c r="A689" s="3" t="s">
        <v>515</v>
      </c>
      <c r="B689" s="3" t="s">
        <v>526</v>
      </c>
      <c r="C689" s="3" t="s">
        <v>527</v>
      </c>
      <c r="D689" s="4" t="str">
        <f>HYPERLINK("https://12go.asia/en/travel/anyang-east/harbin", "12Go Link")</f>
        <v>12Go Link</v>
      </c>
      <c r="E689" s="3" t="s">
        <v>94</v>
      </c>
      <c r="K689" s="5"/>
    </row>
    <row r="690">
      <c r="A690" s="3" t="s">
        <v>515</v>
      </c>
      <c r="B690" s="3" t="s">
        <v>526</v>
      </c>
      <c r="C690" s="3" t="s">
        <v>528</v>
      </c>
      <c r="D690" s="4" t="str">
        <f>HYPERLINK("https://12go.asia/en/travel/anyang-east/harbin-west", "12Go Link")</f>
        <v>12Go Link</v>
      </c>
      <c r="E690" s="3" t="s">
        <v>94</v>
      </c>
      <c r="K690" s="5"/>
    </row>
    <row r="691">
      <c r="A691" s="3" t="s">
        <v>515</v>
      </c>
      <c r="B691" s="3" t="s">
        <v>526</v>
      </c>
      <c r="C691" s="3" t="s">
        <v>529</v>
      </c>
      <c r="D691" s="4" t="str">
        <f>HYPERLINK("https://12go.asia/en/travel/anyang/harbin", "12Go Link")</f>
        <v>12Go Link</v>
      </c>
      <c r="E691" s="3" t="s">
        <v>94</v>
      </c>
      <c r="K691" s="5"/>
    </row>
    <row r="692">
      <c r="A692" s="3" t="s">
        <v>515</v>
      </c>
      <c r="B692" s="3" t="s">
        <v>530</v>
      </c>
      <c r="C692" s="3" t="s">
        <v>531</v>
      </c>
      <c r="D692" s="4" t="str">
        <f>HYPERLINK("https://12go.asia/en/travel/anyang/hebei", "12Go Link")</f>
        <v>12Go Link</v>
      </c>
      <c r="E692" s="3" t="s">
        <v>94</v>
      </c>
      <c r="K692" s="5"/>
    </row>
    <row r="693">
      <c r="A693" s="3" t="s">
        <v>515</v>
      </c>
      <c r="B693" s="3" t="s">
        <v>532</v>
      </c>
      <c r="C693" s="3" t="s">
        <v>533</v>
      </c>
      <c r="D693" s="4" t="str">
        <f>HYPERLINK("https://12go.asia/en/travel/anyang/heilongjiang", "12Go Link")</f>
        <v>12Go Link</v>
      </c>
      <c r="E693" s="3" t="s">
        <v>94</v>
      </c>
      <c r="K693" s="5"/>
    </row>
    <row r="694">
      <c r="A694" s="3" t="s">
        <v>515</v>
      </c>
      <c r="B694" s="3" t="s">
        <v>534</v>
      </c>
      <c r="C694" s="3" t="s">
        <v>535</v>
      </c>
      <c r="D694" s="4" t="str">
        <f>HYPERLINK("https://12go.asia/en/travel/anyang/hubei", "12Go Link")</f>
        <v>12Go Link</v>
      </c>
      <c r="E694" s="3" t="s">
        <v>94</v>
      </c>
      <c r="K694" s="5"/>
    </row>
    <row r="695">
      <c r="A695" s="3" t="s">
        <v>515</v>
      </c>
      <c r="B695" s="3" t="s">
        <v>536</v>
      </c>
      <c r="C695" s="3" t="s">
        <v>537</v>
      </c>
      <c r="D695" s="4" t="str">
        <f>HYPERLINK("https://12go.asia/en/travel/anyang/hunan", "12Go Link")</f>
        <v>12Go Link</v>
      </c>
      <c r="E695" s="3" t="s">
        <v>94</v>
      </c>
      <c r="K695" s="5"/>
    </row>
    <row r="696">
      <c r="A696" s="3" t="s">
        <v>515</v>
      </c>
      <c r="B696" s="3" t="s">
        <v>538</v>
      </c>
      <c r="C696" s="3" t="s">
        <v>539</v>
      </c>
      <c r="D696" s="4" t="str">
        <f>HYPERLINK("https://12go.asia/en/travel/anyang/jiangxi", "12Go Link")</f>
        <v>12Go Link</v>
      </c>
      <c r="E696" s="3" t="s">
        <v>94</v>
      </c>
      <c r="K696" s="5"/>
    </row>
    <row r="697">
      <c r="A697" s="3" t="s">
        <v>515</v>
      </c>
      <c r="B697" s="3" t="s">
        <v>540</v>
      </c>
      <c r="C697" s="3" t="s">
        <v>541</v>
      </c>
      <c r="D697" s="4" t="str">
        <f>HYPERLINK("https://12go.asia/en/travel/anyang/jiangzhou", "12Go Link")</f>
        <v>12Go Link</v>
      </c>
      <c r="E697" s="3" t="s">
        <v>94</v>
      </c>
      <c r="K697" s="5"/>
    </row>
    <row r="698">
      <c r="A698" s="3" t="s">
        <v>515</v>
      </c>
      <c r="B698" s="3" t="s">
        <v>542</v>
      </c>
      <c r="C698" s="3" t="s">
        <v>543</v>
      </c>
      <c r="D698" s="4" t="str">
        <f>HYPERLINK("https://12go.asia/en/travel/anyang/jiaocheng", "12Go Link")</f>
        <v>12Go Link</v>
      </c>
      <c r="E698" s="3" t="s">
        <v>94</v>
      </c>
      <c r="K698" s="5"/>
    </row>
    <row r="699">
      <c r="A699" s="3" t="s">
        <v>515</v>
      </c>
      <c r="B699" s="3" t="s">
        <v>544</v>
      </c>
      <c r="C699" s="3" t="s">
        <v>545</v>
      </c>
      <c r="D699" s="4" t="str">
        <f>HYPERLINK("https://12go.asia/en/travel/anyang/lanzhou-west", "12Go Link")</f>
        <v>12Go Link</v>
      </c>
      <c r="E699" s="3" t="s">
        <v>94</v>
      </c>
      <c r="K699" s="5"/>
    </row>
    <row r="700">
      <c r="A700" s="3" t="s">
        <v>515</v>
      </c>
      <c r="B700" s="3" t="s">
        <v>546</v>
      </c>
      <c r="C700" s="3" t="s">
        <v>547</v>
      </c>
      <c r="D700" s="4" t="str">
        <f>HYPERLINK("https://12go.asia/en/travel/anyang/nanyang", "12Go Link")</f>
        <v>12Go Link</v>
      </c>
      <c r="E700" s="3" t="s">
        <v>94</v>
      </c>
      <c r="K700" s="5"/>
    </row>
    <row r="701">
      <c r="A701" s="3" t="s">
        <v>515</v>
      </c>
      <c r="B701" s="3" t="s">
        <v>548</v>
      </c>
      <c r="C701" s="3" t="s">
        <v>549</v>
      </c>
      <c r="D701" s="4" t="str">
        <f>HYPERLINK("https://12go.asia/en/travel/anyang/qinghai", "12Go Link")</f>
        <v>12Go Link</v>
      </c>
      <c r="E701" s="3" t="s">
        <v>94</v>
      </c>
      <c r="K701" s="5"/>
    </row>
    <row r="702">
      <c r="A702" s="3" t="s">
        <v>515</v>
      </c>
      <c r="B702" s="3" t="s">
        <v>550</v>
      </c>
      <c r="C702" s="3" t="s">
        <v>551</v>
      </c>
      <c r="D702" s="4" t="str">
        <f>HYPERLINK("https://12go.asia/en/travel/anyang/saihan", "12Go Link")</f>
        <v>12Go Link</v>
      </c>
      <c r="E702" s="3" t="s">
        <v>94</v>
      </c>
      <c r="K702" s="5"/>
    </row>
    <row r="703">
      <c r="A703" s="3" t="s">
        <v>515</v>
      </c>
      <c r="B703" s="3" t="s">
        <v>552</v>
      </c>
      <c r="C703" s="3" t="s">
        <v>553</v>
      </c>
      <c r="D703" s="4" t="str">
        <f>HYPERLINK("https://12go.asia/en/travel/anyang/shaanxi", "12Go Link")</f>
        <v>12Go Link</v>
      </c>
      <c r="E703" s="3" t="s">
        <v>94</v>
      </c>
      <c r="K703" s="5"/>
    </row>
    <row r="704">
      <c r="A704" s="3" t="s">
        <v>515</v>
      </c>
      <c r="B704" s="3" t="s">
        <v>554</v>
      </c>
      <c r="C704" s="3" t="s">
        <v>555</v>
      </c>
      <c r="D704" s="4" t="str">
        <f>HYPERLINK("https://12go.asia/en/travel/anyang-east/shenyang", "12Go Link")</f>
        <v>12Go Link</v>
      </c>
      <c r="E704" s="3" t="s">
        <v>94</v>
      </c>
      <c r="K704" s="5"/>
    </row>
    <row r="705">
      <c r="A705" s="3" t="s">
        <v>515</v>
      </c>
      <c r="B705" s="3" t="s">
        <v>554</v>
      </c>
      <c r="C705" s="3" t="s">
        <v>556</v>
      </c>
      <c r="D705" s="4" t="str">
        <f>HYPERLINK("https://12go.asia/en/travel/anyang-east/shenyang-north", "12Go Link")</f>
        <v>12Go Link</v>
      </c>
      <c r="E705" s="3" t="s">
        <v>94</v>
      </c>
      <c r="K705" s="5"/>
    </row>
    <row r="706">
      <c r="A706" s="3" t="s">
        <v>515</v>
      </c>
      <c r="B706" s="3" t="s">
        <v>554</v>
      </c>
      <c r="C706" s="3" t="s">
        <v>557</v>
      </c>
      <c r="D706" s="4" t="str">
        <f>HYPERLINK("https://12go.asia/en/travel/anyang-east/shenyang-south", "12Go Link")</f>
        <v>12Go Link</v>
      </c>
      <c r="E706" s="3" t="s">
        <v>94</v>
      </c>
      <c r="K706" s="5"/>
    </row>
    <row r="707">
      <c r="A707" s="3" t="s">
        <v>515</v>
      </c>
      <c r="B707" s="3" t="s">
        <v>554</v>
      </c>
      <c r="C707" s="3" t="s">
        <v>558</v>
      </c>
      <c r="D707" s="4" t="str">
        <f>HYPERLINK("https://12go.asia/en/travel/anyang/shenyang", "12Go Link")</f>
        <v>12Go Link</v>
      </c>
      <c r="E707" s="3" t="s">
        <v>94</v>
      </c>
      <c r="K707" s="5"/>
    </row>
    <row r="708">
      <c r="A708" s="3" t="s">
        <v>515</v>
      </c>
      <c r="B708" s="3" t="s">
        <v>554</v>
      </c>
      <c r="C708" s="3" t="s">
        <v>559</v>
      </c>
      <c r="D708" s="4" t="str">
        <f>HYPERLINK("https://12go.asia/en/travel/anyang/shenyang-north", "12Go Link")</f>
        <v>12Go Link</v>
      </c>
      <c r="E708" s="3" t="s">
        <v>94</v>
      </c>
      <c r="K708" s="5"/>
    </row>
    <row r="709">
      <c r="A709" s="3" t="s">
        <v>515</v>
      </c>
      <c r="B709" s="3" t="s">
        <v>560</v>
      </c>
      <c r="C709" s="3" t="s">
        <v>561</v>
      </c>
      <c r="D709" s="4" t="str">
        <f>HYPERLINK("https://12go.asia/en/travel/anyang/shuangliu", "12Go Link")</f>
        <v>12Go Link</v>
      </c>
      <c r="E709" s="3" t="s">
        <v>94</v>
      </c>
      <c r="K709" s="5"/>
    </row>
    <row r="710">
      <c r="A710" s="3" t="s">
        <v>515</v>
      </c>
      <c r="B710" s="3" t="s">
        <v>562</v>
      </c>
      <c r="C710" s="3" t="s">
        <v>563</v>
      </c>
      <c r="D710" s="4" t="str">
        <f>HYPERLINK("https://12go.asia/en/travel/anyang/sichuan", "12Go Link")</f>
        <v>12Go Link</v>
      </c>
      <c r="E710" s="3" t="s">
        <v>94</v>
      </c>
      <c r="K710" s="5"/>
    </row>
    <row r="711">
      <c r="A711" s="3" t="s">
        <v>515</v>
      </c>
      <c r="B711" s="3" t="s">
        <v>564</v>
      </c>
      <c r="C711" s="3" t="s">
        <v>565</v>
      </c>
      <c r="D711" s="4" t="str">
        <f>HYPERLINK("https://12go.asia/en/travel/anyang/tianxin", "12Go Link")</f>
        <v>12Go Link</v>
      </c>
      <c r="E711" s="3" t="s">
        <v>94</v>
      </c>
      <c r="K711" s="5"/>
    </row>
    <row r="712">
      <c r="A712" s="3" t="s">
        <v>515</v>
      </c>
      <c r="B712" s="3" t="s">
        <v>566</v>
      </c>
      <c r="C712" s="3" t="s">
        <v>567</v>
      </c>
      <c r="D712" s="4" t="str">
        <f>HYPERLINK("https://12go.asia/en/travel/anyang/wenjiang", "12Go Link")</f>
        <v>12Go Link</v>
      </c>
      <c r="E712" s="3" t="s">
        <v>94</v>
      </c>
      <c r="K712" s="5"/>
    </row>
    <row r="713">
      <c r="A713" s="3" t="s">
        <v>515</v>
      </c>
      <c r="B713" s="3" t="s">
        <v>568</v>
      </c>
      <c r="C713" s="3" t="s">
        <v>569</v>
      </c>
      <c r="D713" s="4" t="str">
        <f>HYPERLINK("https://12go.asia/en/travel/anyang/xigu", "12Go Link")</f>
        <v>12Go Link</v>
      </c>
      <c r="E713" s="3" t="s">
        <v>94</v>
      </c>
      <c r="K713" s="5"/>
    </row>
    <row r="714">
      <c r="A714" s="3" t="s">
        <v>515</v>
      </c>
      <c r="B714" s="3" t="s">
        <v>570</v>
      </c>
      <c r="C714" s="3" t="s">
        <v>571</v>
      </c>
      <c r="D714" s="4" t="str">
        <f>HYPERLINK("https://12go.asia/en/travel/anyang-east/xining", "12Go Link")</f>
        <v>12Go Link</v>
      </c>
      <c r="E714" s="3" t="s">
        <v>94</v>
      </c>
      <c r="K714" s="5"/>
    </row>
    <row r="715">
      <c r="A715" s="3" t="s">
        <v>515</v>
      </c>
      <c r="B715" s="3" t="s">
        <v>570</v>
      </c>
      <c r="C715" s="3" t="s">
        <v>572</v>
      </c>
      <c r="D715" s="4" t="str">
        <f>HYPERLINK("https://12go.asia/en/travel/anyang/xining", "12Go Link")</f>
        <v>12Go Link</v>
      </c>
      <c r="E715" s="3" t="s">
        <v>94</v>
      </c>
      <c r="K715" s="5"/>
    </row>
    <row r="716">
      <c r="A716" s="3" t="s">
        <v>515</v>
      </c>
      <c r="B716" s="3" t="s">
        <v>573</v>
      </c>
      <c r="C716" s="3" t="s">
        <v>574</v>
      </c>
      <c r="D716" s="4" t="str">
        <f>HYPERLINK("https://12go.asia/en/travel/anyang/xinyi", "12Go Link")</f>
        <v>12Go Link</v>
      </c>
      <c r="E716" s="3" t="s">
        <v>94</v>
      </c>
      <c r="K716" s="5"/>
    </row>
    <row r="717">
      <c r="A717" s="3" t="s">
        <v>515</v>
      </c>
      <c r="B717" s="3" t="s">
        <v>575</v>
      </c>
      <c r="C717" s="3" t="s">
        <v>576</v>
      </c>
      <c r="D717" s="4" t="str">
        <f>HYPERLINK("https://12go.asia/en/travel/anyang/xishui", "12Go Link")</f>
        <v>12Go Link</v>
      </c>
      <c r="E717" s="3" t="s">
        <v>94</v>
      </c>
      <c r="K717" s="5"/>
    </row>
    <row r="718">
      <c r="A718" s="3" t="s">
        <v>515</v>
      </c>
      <c r="B718" s="3" t="s">
        <v>577</v>
      </c>
      <c r="C718" s="3" t="s">
        <v>578</v>
      </c>
      <c r="D718" s="4" t="str">
        <f>HYPERLINK("https://12go.asia/en/travel/anyang/xunxian", "12Go Link")</f>
        <v>12Go Link</v>
      </c>
      <c r="E718" s="3" t="s">
        <v>94</v>
      </c>
      <c r="K718" s="5"/>
    </row>
    <row r="719">
      <c r="A719" s="3" t="s">
        <v>515</v>
      </c>
      <c r="B719" s="3" t="s">
        <v>579</v>
      </c>
      <c r="C719" s="3" t="s">
        <v>580</v>
      </c>
      <c r="D719" s="4" t="str">
        <f>HYPERLINK("https://12go.asia/en/travel/anyang-east/xuzhou-east", "12Go Link")</f>
        <v>12Go Link</v>
      </c>
      <c r="E719" s="3" t="s">
        <v>94</v>
      </c>
      <c r="K719" s="5"/>
    </row>
    <row r="720">
      <c r="A720" s="3" t="s">
        <v>515</v>
      </c>
      <c r="B720" s="3" t="s">
        <v>579</v>
      </c>
      <c r="C720" s="3" t="s">
        <v>581</v>
      </c>
      <c r="D720" s="4" t="str">
        <f>HYPERLINK("https://12go.asia/en/travel/anyang/xuzhou", "12Go Link")</f>
        <v>12Go Link</v>
      </c>
      <c r="E720" s="3" t="s">
        <v>94</v>
      </c>
      <c r="K720" s="5"/>
    </row>
    <row r="721">
      <c r="A721" s="3" t="s">
        <v>515</v>
      </c>
      <c r="B721" s="3" t="s">
        <v>582</v>
      </c>
      <c r="C721" s="3" t="s">
        <v>583</v>
      </c>
      <c r="D721" s="4" t="str">
        <f>HYPERLINK("https://12go.asia/en/travel/anyang-east/yuncheng-north", "12Go Link")</f>
        <v>12Go Link</v>
      </c>
      <c r="E721" s="3" t="s">
        <v>94</v>
      </c>
      <c r="K721" s="5"/>
    </row>
    <row r="722">
      <c r="A722" s="3" t="s">
        <v>515</v>
      </c>
      <c r="B722" s="3" t="s">
        <v>582</v>
      </c>
      <c r="C722" s="3" t="s">
        <v>584</v>
      </c>
      <c r="D722" s="4" t="str">
        <f>HYPERLINK("https://12go.asia/en/travel/anyang/yuncheng", "12Go Link")</f>
        <v>12Go Link</v>
      </c>
      <c r="E722" s="3" t="s">
        <v>94</v>
      </c>
      <c r="K722" s="5"/>
    </row>
    <row r="723">
      <c r="A723" s="3" t="s">
        <v>515</v>
      </c>
      <c r="B723" s="3" t="s">
        <v>585</v>
      </c>
      <c r="C723" s="3" t="s">
        <v>586</v>
      </c>
      <c r="D723" s="4" t="str">
        <f>HYPERLINK("https://12go.asia/en/travel/anyang-east/zhengzhou-hangkonggang", "12Go Link")</f>
        <v>12Go Link</v>
      </c>
      <c r="E723" s="3" t="s">
        <v>94</v>
      </c>
      <c r="K723" s="5"/>
    </row>
    <row r="724">
      <c r="A724" s="3" t="s">
        <v>587</v>
      </c>
      <c r="B724" s="3" t="s">
        <v>588</v>
      </c>
      <c r="C724" s="3" t="s">
        <v>589</v>
      </c>
      <c r="D724" s="4" t="str">
        <f>HYPERLINK("https://12go.asia/en/travel/baoding-east/kaifeng-north", "12Go Link")</f>
        <v>12Go Link</v>
      </c>
      <c r="E724" s="3" t="s">
        <v>94</v>
      </c>
      <c r="K724" s="5"/>
    </row>
    <row r="725">
      <c r="A725" s="3" t="s">
        <v>587</v>
      </c>
      <c r="B725" s="3" t="s">
        <v>588</v>
      </c>
      <c r="C725" s="3" t="s">
        <v>590</v>
      </c>
      <c r="D725" s="4" t="str">
        <f>HYPERLINK("https://12go.asia/en/travel/baoding/kaifeng", "12Go Link")</f>
        <v>12Go Link</v>
      </c>
      <c r="E725" s="3" t="s">
        <v>94</v>
      </c>
      <c r="K725" s="5"/>
    </row>
    <row r="726">
      <c r="A726" s="3" t="s">
        <v>587</v>
      </c>
      <c r="B726" s="3" t="s">
        <v>591</v>
      </c>
      <c r="C726" s="3" t="s">
        <v>592</v>
      </c>
      <c r="D726" s="4" t="str">
        <f>HYPERLINK("https://12go.asia/en/travel/baoding/yanan", "12Go Link")</f>
        <v>12Go Link</v>
      </c>
      <c r="E726" s="3" t="s">
        <v>94</v>
      </c>
      <c r="K726" s="5"/>
    </row>
    <row r="727">
      <c r="A727" s="3" t="s">
        <v>593</v>
      </c>
      <c r="B727" s="3" t="s">
        <v>594</v>
      </c>
      <c r="C727" s="3" t="s">
        <v>595</v>
      </c>
      <c r="D727" s="4" t="str">
        <f>HYPERLINK("https://12go.asia/en/travel/beijing/beijing-daxing-airport", "12Go Link")</f>
        <v>12Go Link</v>
      </c>
      <c r="E727" s="3" t="s">
        <v>94</v>
      </c>
      <c r="K727" s="5"/>
    </row>
    <row r="728">
      <c r="A728" s="3" t="s">
        <v>593</v>
      </c>
      <c r="B728" s="3" t="s">
        <v>596</v>
      </c>
      <c r="C728" s="3" t="s">
        <v>597</v>
      </c>
      <c r="D728" s="4" t="str">
        <f>HYPERLINK("https://12go.asia/en/travel/beijing-south/bengbu-south", "12Go Link")</f>
        <v>12Go Link</v>
      </c>
      <c r="E728" s="3" t="s">
        <v>94</v>
      </c>
      <c r="K728" s="5"/>
    </row>
    <row r="729">
      <c r="A729" s="3" t="s">
        <v>593</v>
      </c>
      <c r="B729" s="3" t="s">
        <v>596</v>
      </c>
      <c r="C729" s="3" t="s">
        <v>598</v>
      </c>
      <c r="D729" s="4" t="str">
        <f>HYPERLINK("https://12go.asia/en/travel/beijing/bengbu", "12Go Link")</f>
        <v>12Go Link</v>
      </c>
      <c r="E729" s="3" t="s">
        <v>94</v>
      </c>
      <c r="K729" s="5"/>
    </row>
    <row r="730">
      <c r="A730" s="3" t="s">
        <v>593</v>
      </c>
      <c r="B730" s="3" t="s">
        <v>596</v>
      </c>
      <c r="C730" s="3" t="s">
        <v>599</v>
      </c>
      <c r="D730" s="4" t="str">
        <f>HYPERLINK("https://12go.asia/en/travel/beijing/bengbu-south", "12Go Link")</f>
        <v>12Go Link</v>
      </c>
      <c r="E730" s="3" t="s">
        <v>94</v>
      </c>
      <c r="K730" s="5"/>
    </row>
    <row r="731">
      <c r="A731" s="3" t="s">
        <v>593</v>
      </c>
      <c r="B731" s="3" t="s">
        <v>600</v>
      </c>
      <c r="C731" s="3" t="s">
        <v>601</v>
      </c>
      <c r="D731" s="4" t="str">
        <f>HYPERLINK("https://12go.asia/en/travel/beijing/boluo", "12Go Link")</f>
        <v>12Go Link</v>
      </c>
      <c r="E731" s="3" t="s">
        <v>94</v>
      </c>
      <c r="K731" s="5"/>
    </row>
    <row r="732">
      <c r="A732" s="3" t="s">
        <v>593</v>
      </c>
      <c r="B732" s="3" t="s">
        <v>602</v>
      </c>
      <c r="C732" s="3" t="s">
        <v>603</v>
      </c>
      <c r="D732" s="4" t="str">
        <f>HYPERLINK("https://12go.asia/en/travel/beijing/danzhou", "12Go Link")</f>
        <v>12Go Link</v>
      </c>
      <c r="E732" s="3" t="s">
        <v>94</v>
      </c>
      <c r="K732" s="5"/>
    </row>
    <row r="733">
      <c r="A733" s="3" t="s">
        <v>593</v>
      </c>
      <c r="B733" s="3" t="s">
        <v>604</v>
      </c>
      <c r="C733" s="3" t="s">
        <v>605</v>
      </c>
      <c r="D733" s="4" t="str">
        <f>HYPERLINK("https://12go.asia/en/travel/beijing/daqing", "12Go Link")</f>
        <v>12Go Link</v>
      </c>
      <c r="E733" s="3" t="s">
        <v>94</v>
      </c>
      <c r="K733" s="5"/>
    </row>
    <row r="734">
      <c r="A734" s="3" t="s">
        <v>593</v>
      </c>
      <c r="B734" s="3" t="s">
        <v>604</v>
      </c>
      <c r="C734" s="3" t="s">
        <v>606</v>
      </c>
      <c r="D734" s="4" t="str">
        <f>HYPERLINK("https://12go.asia/en/travel/beijing/daqing-east", "12Go Link")</f>
        <v>12Go Link</v>
      </c>
      <c r="E734" s="3" t="s">
        <v>94</v>
      </c>
      <c r="K734" s="5"/>
    </row>
    <row r="735">
      <c r="A735" s="3" t="s">
        <v>593</v>
      </c>
      <c r="B735" s="3" t="s">
        <v>607</v>
      </c>
      <c r="C735" s="3" t="s">
        <v>608</v>
      </c>
      <c r="D735" s="4" t="str">
        <f>HYPERLINK("https://12go.asia/en/travel/beijing/daxing", "12Go Link")</f>
        <v>12Go Link</v>
      </c>
      <c r="E735" s="3" t="s">
        <v>94</v>
      </c>
      <c r="K735" s="5"/>
    </row>
    <row r="736">
      <c r="A736" s="3" t="s">
        <v>593</v>
      </c>
      <c r="B736" s="3" t="s">
        <v>609</v>
      </c>
      <c r="C736" s="3" t="s">
        <v>610</v>
      </c>
      <c r="D736" s="4" t="str">
        <f>HYPERLINK("https://12go.asia/en/travel/beijing/dongcheng-south", "12Go Link")</f>
        <v>12Go Link</v>
      </c>
      <c r="E736" s="3" t="s">
        <v>94</v>
      </c>
      <c r="K736" s="5"/>
    </row>
    <row r="737">
      <c r="A737" s="3" t="s">
        <v>593</v>
      </c>
      <c r="B737" s="3" t="s">
        <v>611</v>
      </c>
      <c r="C737" s="3" t="s">
        <v>612</v>
      </c>
      <c r="D737" s="4" t="str">
        <f>HYPERLINK("https://12go.asia/en/travel/beijing-west/dongguan", "12Go Link")</f>
        <v>12Go Link</v>
      </c>
      <c r="E737" s="3" t="s">
        <v>94</v>
      </c>
      <c r="K737" s="5"/>
    </row>
    <row r="738">
      <c r="A738" s="3" t="s">
        <v>593</v>
      </c>
      <c r="B738" s="3" t="s">
        <v>613</v>
      </c>
      <c r="C738" s="3" t="s">
        <v>614</v>
      </c>
      <c r="D738" s="4" t="str">
        <f>HYPERLINK("https://12go.asia/en/travel/beijing-west/dongsheng-west", "12Go Link")</f>
        <v>12Go Link</v>
      </c>
      <c r="E738" s="3" t="s">
        <v>94</v>
      </c>
      <c r="K738" s="5"/>
    </row>
    <row r="739">
      <c r="A739" s="3" t="s">
        <v>593</v>
      </c>
      <c r="B739" s="3" t="s">
        <v>613</v>
      </c>
      <c r="C739" s="3" t="s">
        <v>615</v>
      </c>
      <c r="D739" s="4" t="str">
        <f>HYPERLINK("https://12go.asia/en/travel/beijing/dongsheng", "12Go Link")</f>
        <v>12Go Link</v>
      </c>
      <c r="E739" s="3" t="s">
        <v>94</v>
      </c>
      <c r="K739" s="5"/>
    </row>
    <row r="740">
      <c r="A740" s="3" t="s">
        <v>593</v>
      </c>
      <c r="B740" s="3" t="s">
        <v>524</v>
      </c>
      <c r="C740" s="3" t="s">
        <v>616</v>
      </c>
      <c r="D740" s="4" t="str">
        <f>HYPERLINK("https://12go.asia/en/travel/beijing/guzhang", "12Go Link")</f>
        <v>12Go Link</v>
      </c>
      <c r="E740" s="3" t="s">
        <v>94</v>
      </c>
      <c r="K740" s="5"/>
    </row>
    <row r="741">
      <c r="A741" s="3" t="s">
        <v>593</v>
      </c>
      <c r="B741" s="3" t="s">
        <v>530</v>
      </c>
      <c r="C741" s="3" t="s">
        <v>617</v>
      </c>
      <c r="D741" s="4" t="str">
        <f>HYPERLINK("https://12go.asia/en/travel/beijing-fengtai/xingtai", "12Go Link")</f>
        <v>12Go Link</v>
      </c>
      <c r="E741" s="3" t="s">
        <v>94</v>
      </c>
      <c r="K741" s="5"/>
    </row>
    <row r="742">
      <c r="A742" s="3" t="s">
        <v>593</v>
      </c>
      <c r="B742" s="3" t="s">
        <v>530</v>
      </c>
      <c r="C742" s="3" t="s">
        <v>618</v>
      </c>
      <c r="D742" s="4" t="str">
        <f>HYPERLINK("https://12go.asia/en/travel/beijing-west/xingtai", "12Go Link")</f>
        <v>12Go Link</v>
      </c>
      <c r="E742" s="3" t="s">
        <v>94</v>
      </c>
      <c r="K742" s="5"/>
    </row>
    <row r="743">
      <c r="A743" s="3" t="s">
        <v>593</v>
      </c>
      <c r="B743" s="3" t="s">
        <v>530</v>
      </c>
      <c r="C743" s="3" t="s">
        <v>619</v>
      </c>
      <c r="D743" s="4" t="str">
        <f>HYPERLINK("https://12go.asia/en/travel/beijing/xingtai", "12Go Link")</f>
        <v>12Go Link</v>
      </c>
      <c r="E743" s="3" t="s">
        <v>94</v>
      </c>
      <c r="K743" s="5"/>
    </row>
    <row r="744">
      <c r="A744" s="3" t="s">
        <v>593</v>
      </c>
      <c r="B744" s="3" t="s">
        <v>620</v>
      </c>
      <c r="C744" s="3" t="s">
        <v>621</v>
      </c>
      <c r="D744" s="4" t="str">
        <f>HYPERLINK("https://12go.asia/en/travel/beijing/hengqin-island", "12Go Link")</f>
        <v>12Go Link</v>
      </c>
      <c r="E744" s="3" t="s">
        <v>94</v>
      </c>
      <c r="K744" s="5"/>
    </row>
    <row r="745">
      <c r="A745" s="3" t="s">
        <v>593</v>
      </c>
      <c r="B745" s="3" t="s">
        <v>622</v>
      </c>
      <c r="C745" s="3" t="s">
        <v>623</v>
      </c>
      <c r="D745" s="4" t="str">
        <f>HYPERLINK("https://12go.asia/en/travel/beijing/heshan", "12Go Link")</f>
        <v>12Go Link</v>
      </c>
      <c r="E745" s="3" t="s">
        <v>94</v>
      </c>
      <c r="K745" s="5"/>
    </row>
    <row r="746">
      <c r="A746" s="3" t="s">
        <v>593</v>
      </c>
      <c r="B746" s="3" t="s">
        <v>624</v>
      </c>
      <c r="C746" s="3" t="s">
        <v>625</v>
      </c>
      <c r="D746" s="4" t="str">
        <f>HYPERLINK("https://12go.asia/en/travel/beijing/hong-kong-island", "12Go Link")</f>
        <v>12Go Link</v>
      </c>
      <c r="E746" s="3" t="s">
        <v>94</v>
      </c>
      <c r="K746" s="5"/>
    </row>
    <row r="747">
      <c r="A747" s="3" t="s">
        <v>593</v>
      </c>
      <c r="B747" s="3" t="s">
        <v>626</v>
      </c>
      <c r="C747" s="3" t="s">
        <v>627</v>
      </c>
      <c r="D747" s="4" t="str">
        <f>HYPERLINK("https://12go.asia/en/travel/beijing/huade", "12Go Link")</f>
        <v>12Go Link</v>
      </c>
      <c r="E747" s="3" t="s">
        <v>94</v>
      </c>
      <c r="K747" s="5"/>
    </row>
    <row r="748">
      <c r="A748" s="3" t="s">
        <v>593</v>
      </c>
      <c r="B748" s="3" t="s">
        <v>628</v>
      </c>
      <c r="C748" s="3" t="s">
        <v>629</v>
      </c>
      <c r="D748" s="4" t="str">
        <f>HYPERLINK("https://12go.asia/en/travel/beijing/huadu", "12Go Link")</f>
        <v>12Go Link</v>
      </c>
      <c r="E748" s="3" t="s">
        <v>94</v>
      </c>
      <c r="K748" s="5"/>
    </row>
    <row r="749">
      <c r="A749" s="3" t="s">
        <v>593</v>
      </c>
      <c r="B749" s="3" t="s">
        <v>630</v>
      </c>
      <c r="C749" s="3" t="s">
        <v>631</v>
      </c>
      <c r="D749" s="4" t="str">
        <f>HYPERLINK("https://12go.asia/en/travel/beijing/huairen-county", "12Go Link")</f>
        <v>12Go Link</v>
      </c>
      <c r="E749" s="3" t="s">
        <v>94</v>
      </c>
      <c r="K749" s="5"/>
    </row>
    <row r="750">
      <c r="A750" s="3" t="s">
        <v>593</v>
      </c>
      <c r="B750" s="3" t="s">
        <v>632</v>
      </c>
      <c r="C750" s="3" t="s">
        <v>633</v>
      </c>
      <c r="D750" s="4" t="str">
        <f>HYPERLINK("https://12go.asia/en/travel/beijing-fengtai/guangzhoubaiyun", "12Go Link")</f>
        <v>12Go Link</v>
      </c>
      <c r="E750" s="3" t="s">
        <v>94</v>
      </c>
      <c r="K750" s="5"/>
    </row>
    <row r="751">
      <c r="A751" s="3" t="s">
        <v>593</v>
      </c>
      <c r="B751" s="3" t="s">
        <v>632</v>
      </c>
      <c r="C751" s="3" t="s">
        <v>634</v>
      </c>
      <c r="D751" s="4" t="str">
        <f>HYPERLINK("https://12go.asia/en/travel/beijing-west/guangzhoubaiyun", "12Go Link")</f>
        <v>12Go Link</v>
      </c>
      <c r="E751" s="3" t="s">
        <v>94</v>
      </c>
      <c r="K751" s="5"/>
    </row>
    <row r="752">
      <c r="A752" s="3" t="s">
        <v>593</v>
      </c>
      <c r="B752" s="3" t="s">
        <v>632</v>
      </c>
      <c r="C752" s="3" t="s">
        <v>635</v>
      </c>
      <c r="D752" s="4" t="str">
        <f>HYPERLINK("https://12go.asia/en/travel/beijing/huaxi", "12Go Link")</f>
        <v>12Go Link</v>
      </c>
      <c r="E752" s="3" t="s">
        <v>94</v>
      </c>
      <c r="K752" s="5"/>
    </row>
    <row r="753">
      <c r="A753" s="3" t="s">
        <v>593</v>
      </c>
      <c r="B753" s="3" t="s">
        <v>636</v>
      </c>
      <c r="C753" s="3" t="s">
        <v>637</v>
      </c>
      <c r="D753" s="4" t="str">
        <f>HYPERLINK("https://12go.asia/en/travel/beijing-west/humen", "12Go Link")</f>
        <v>12Go Link</v>
      </c>
      <c r="E753" s="3" t="s">
        <v>94</v>
      </c>
      <c r="K753" s="5"/>
    </row>
    <row r="754">
      <c r="A754" s="3" t="s">
        <v>593</v>
      </c>
      <c r="B754" s="3" t="s">
        <v>636</v>
      </c>
      <c r="C754" s="3" t="s">
        <v>638</v>
      </c>
      <c r="D754" s="4" t="str">
        <f>HYPERLINK("https://12go.asia/en/travel/beijing/humen-town", "12Go Link")</f>
        <v>12Go Link</v>
      </c>
      <c r="E754" s="3" t="s">
        <v>94</v>
      </c>
      <c r="K754" s="5"/>
    </row>
    <row r="755">
      <c r="A755" s="3" t="s">
        <v>593</v>
      </c>
      <c r="B755" s="3" t="s">
        <v>639</v>
      </c>
      <c r="C755" s="3" t="s">
        <v>640</v>
      </c>
      <c r="D755" s="4" t="str">
        <f>HYPERLINK("https://12go.asia/en/travel/beijing/jiangbei", "12Go Link")</f>
        <v>12Go Link</v>
      </c>
      <c r="E755" s="3" t="s">
        <v>94</v>
      </c>
      <c r="K755" s="5"/>
    </row>
    <row r="756">
      <c r="A756" s="3" t="s">
        <v>593</v>
      </c>
      <c r="B756" s="3" t="s">
        <v>641</v>
      </c>
      <c r="C756" s="3" t="s">
        <v>642</v>
      </c>
      <c r="D756" s="4" t="str">
        <f>HYPERLINK("https://12go.asia/en/travel/beijing/jiangjin", "12Go Link")</f>
        <v>12Go Link</v>
      </c>
      <c r="E756" s="3" t="s">
        <v>94</v>
      </c>
      <c r="K756" s="5"/>
    </row>
    <row r="757">
      <c r="A757" s="3" t="s">
        <v>593</v>
      </c>
      <c r="B757" s="3" t="s">
        <v>643</v>
      </c>
      <c r="C757" s="3" t="s">
        <v>644</v>
      </c>
      <c r="D757" s="4" t="str">
        <f>HYPERLINK("https://12go.asia/en/travel/beijing/jiangning", "12Go Link")</f>
        <v>12Go Link</v>
      </c>
      <c r="E757" s="3" t="s">
        <v>94</v>
      </c>
      <c r="K757" s="5"/>
    </row>
    <row r="758">
      <c r="A758" s="3" t="s">
        <v>593</v>
      </c>
      <c r="B758" s="3" t="s">
        <v>645</v>
      </c>
      <c r="C758" s="3" t="s">
        <v>646</v>
      </c>
      <c r="D758" s="4" t="str">
        <f>HYPERLINK("https://12go.asia/en/travel/beijing/jiangxia", "12Go Link")</f>
        <v>12Go Link</v>
      </c>
      <c r="E758" s="3" t="s">
        <v>94</v>
      </c>
      <c r="K758" s="5"/>
    </row>
    <row r="759">
      <c r="A759" s="3" t="s">
        <v>593</v>
      </c>
      <c r="B759" s="3" t="s">
        <v>647</v>
      </c>
      <c r="C759" s="3" t="s">
        <v>648</v>
      </c>
      <c r="D759" s="4" t="str">
        <f>HYPERLINK("https://12go.asia/en/travel/beijing/jiangyuan", "12Go Link")</f>
        <v>12Go Link</v>
      </c>
      <c r="E759" s="3" t="s">
        <v>94</v>
      </c>
      <c r="K759" s="5"/>
    </row>
    <row r="760">
      <c r="A760" s="3" t="s">
        <v>593</v>
      </c>
      <c r="B760" s="3" t="s">
        <v>540</v>
      </c>
      <c r="C760" s="3" t="s">
        <v>649</v>
      </c>
      <c r="D760" s="4" t="str">
        <f>HYPERLINK("https://12go.asia/en/travel/beijing/jiangzhou", "12Go Link")</f>
        <v>12Go Link</v>
      </c>
      <c r="E760" s="3" t="s">
        <v>94</v>
      </c>
      <c r="K760" s="5"/>
    </row>
    <row r="761">
      <c r="A761" s="3" t="s">
        <v>593</v>
      </c>
      <c r="B761" s="3" t="s">
        <v>650</v>
      </c>
      <c r="C761" s="3" t="s">
        <v>651</v>
      </c>
      <c r="D761" s="4" t="str">
        <f>HYPERLINK("https://12go.asia/en/travel/beijing-south/qingdao-airport", "12Go Link")</f>
        <v>12Go Link</v>
      </c>
      <c r="E761" s="3" t="s">
        <v>94</v>
      </c>
      <c r="K761" s="5"/>
    </row>
    <row r="762">
      <c r="A762" s="3" t="s">
        <v>593</v>
      </c>
      <c r="B762" s="3" t="s">
        <v>650</v>
      </c>
      <c r="C762" s="3" t="s">
        <v>652</v>
      </c>
      <c r="D762" s="4" t="str">
        <f>HYPERLINK("https://12go.asia/en/travel/beijing/jiaozhou", "12Go Link")</f>
        <v>12Go Link</v>
      </c>
      <c r="E762" s="3" t="s">
        <v>94</v>
      </c>
      <c r="K762" s="5"/>
    </row>
    <row r="763">
      <c r="A763" s="3" t="s">
        <v>593</v>
      </c>
      <c r="B763" s="3" t="s">
        <v>653</v>
      </c>
      <c r="C763" s="3" t="s">
        <v>654</v>
      </c>
      <c r="D763" s="4" t="str">
        <f>HYPERLINK("https://12go.asia/en/travel/beijing/jiaozhou-city", "12Go Link")</f>
        <v>12Go Link</v>
      </c>
      <c r="E763" s="3" t="s">
        <v>94</v>
      </c>
      <c r="K763" s="5"/>
    </row>
    <row r="764">
      <c r="A764" s="3" t="s">
        <v>593</v>
      </c>
      <c r="B764" s="3" t="s">
        <v>655</v>
      </c>
      <c r="C764" s="3" t="s">
        <v>656</v>
      </c>
      <c r="D764" s="4" t="str">
        <f>HYPERLINK("https://12go.asia/en/travel/beijing/jiaxiang", "12Go Link")</f>
        <v>12Go Link</v>
      </c>
      <c r="E764" s="3" t="s">
        <v>94</v>
      </c>
      <c r="K764" s="5"/>
    </row>
    <row r="765">
      <c r="A765" s="3" t="s">
        <v>593</v>
      </c>
      <c r="B765" s="3" t="s">
        <v>657</v>
      </c>
      <c r="C765" s="3" t="s">
        <v>658</v>
      </c>
      <c r="D765" s="4" t="str">
        <f>HYPERLINK("https://12go.asia/en/travel/beijing-west/jingmen", "12Go Link")</f>
        <v>12Go Link</v>
      </c>
      <c r="E765" s="3" t="s">
        <v>94</v>
      </c>
      <c r="K765" s="5"/>
    </row>
    <row r="766">
      <c r="A766" s="3" t="s">
        <v>593</v>
      </c>
      <c r="B766" s="3" t="s">
        <v>657</v>
      </c>
      <c r="C766" s="3" t="s">
        <v>659</v>
      </c>
      <c r="D766" s="4" t="str">
        <f>HYPERLINK("https://12go.asia/en/travel/beijing/jingmen", "12Go Link")</f>
        <v>12Go Link</v>
      </c>
      <c r="E766" s="3" t="s">
        <v>94</v>
      </c>
      <c r="K766" s="5"/>
    </row>
    <row r="767">
      <c r="A767" s="3" t="s">
        <v>593</v>
      </c>
      <c r="B767" s="3" t="s">
        <v>660</v>
      </c>
      <c r="C767" s="3" t="s">
        <v>661</v>
      </c>
      <c r="D767" s="4" t="str">
        <f>HYPERLINK("https://12go.asia/en/travel/beijing-south/quanzhounan", "12Go Link")</f>
        <v>12Go Link</v>
      </c>
      <c r="E767" s="3" t="s">
        <v>94</v>
      </c>
      <c r="K767" s="5"/>
    </row>
    <row r="768">
      <c r="A768" s="3" t="s">
        <v>593</v>
      </c>
      <c r="B768" s="3" t="s">
        <v>660</v>
      </c>
      <c r="C768" s="3" t="s">
        <v>662</v>
      </c>
      <c r="D768" s="4" t="str">
        <f>HYPERLINK("https://12go.asia/en/travel/beijing/jinjiang", "12Go Link")</f>
        <v>12Go Link</v>
      </c>
      <c r="E768" s="3" t="s">
        <v>94</v>
      </c>
      <c r="K768" s="5"/>
    </row>
    <row r="769">
      <c r="A769" s="3" t="s">
        <v>593</v>
      </c>
      <c r="B769" s="3" t="s">
        <v>663</v>
      </c>
      <c r="C769" s="3" t="s">
        <v>664</v>
      </c>
      <c r="D769" s="4" t="str">
        <f>HYPERLINK("https://12go.asia/en/travel/beijing/liaoyuan", "12Go Link")</f>
        <v>12Go Link</v>
      </c>
      <c r="E769" s="3" t="s">
        <v>94</v>
      </c>
      <c r="K769" s="5"/>
    </row>
    <row r="770">
      <c r="A770" s="3" t="s">
        <v>593</v>
      </c>
      <c r="B770" s="3" t="s">
        <v>665</v>
      </c>
      <c r="C770" s="3" t="s">
        <v>666</v>
      </c>
      <c r="D770" s="4" t="str">
        <f>HYPERLINK("https://12go.asia/en/travel/beijing/lingshi-county", "12Go Link")</f>
        <v>12Go Link</v>
      </c>
      <c r="E770" s="3" t="s">
        <v>94</v>
      </c>
      <c r="K770" s="5"/>
    </row>
    <row r="771">
      <c r="A771" s="3" t="s">
        <v>593</v>
      </c>
      <c r="B771" s="3" t="s">
        <v>667</v>
      </c>
      <c r="C771" s="3" t="s">
        <v>668</v>
      </c>
      <c r="D771" s="4" t="str">
        <f>HYPERLINK("https://12go.asia/en/travel/beijing-west/ningdong", "12Go Link")</f>
        <v>12Go Link</v>
      </c>
      <c r="E771" s="3" t="s">
        <v>94</v>
      </c>
      <c r="K771" s="5"/>
    </row>
    <row r="772">
      <c r="A772" s="3" t="s">
        <v>593</v>
      </c>
      <c r="B772" s="3" t="s">
        <v>667</v>
      </c>
      <c r="C772" s="3" t="s">
        <v>669</v>
      </c>
      <c r="D772" s="4" t="str">
        <f>HYPERLINK("https://12go.asia/en/travel/beijing/lingwu", "12Go Link")</f>
        <v>12Go Link</v>
      </c>
      <c r="E772" s="3" t="s">
        <v>94</v>
      </c>
      <c r="K772" s="5"/>
    </row>
    <row r="773">
      <c r="A773" s="3" t="s">
        <v>593</v>
      </c>
      <c r="B773" s="3" t="s">
        <v>670</v>
      </c>
      <c r="C773" s="3" t="s">
        <v>671</v>
      </c>
      <c r="D773" s="4" t="str">
        <f>HYPERLINK("https://12go.asia/en/travel/beijing/longan", "12Go Link")</f>
        <v>12Go Link</v>
      </c>
      <c r="E773" s="3" t="s">
        <v>94</v>
      </c>
      <c r="K773" s="5"/>
    </row>
    <row r="774">
      <c r="A774" s="3" t="s">
        <v>593</v>
      </c>
      <c r="B774" s="3" t="s">
        <v>672</v>
      </c>
      <c r="C774" s="3" t="s">
        <v>673</v>
      </c>
      <c r="D774" s="4" t="str">
        <f>HYPERLINK("https://12go.asia/en/travel/beijing/luliang", "12Go Link")</f>
        <v>12Go Link</v>
      </c>
      <c r="E774" s="3" t="s">
        <v>94</v>
      </c>
      <c r="K774" s="5"/>
    </row>
    <row r="775">
      <c r="A775" s="3" t="s">
        <v>593</v>
      </c>
      <c r="B775" s="3" t="s">
        <v>674</v>
      </c>
      <c r="C775" s="3" t="s">
        <v>675</v>
      </c>
      <c r="D775" s="4" t="str">
        <f>HYPERLINK("https://12go.asia/en/travel/beijing-west/maoming", "12Go Link")</f>
        <v>12Go Link</v>
      </c>
      <c r="E775" s="3" t="s">
        <v>94</v>
      </c>
      <c r="K775" s="5"/>
    </row>
    <row r="776">
      <c r="A776" s="3" t="s">
        <v>593</v>
      </c>
      <c r="B776" s="3" t="s">
        <v>674</v>
      </c>
      <c r="C776" s="3" t="s">
        <v>676</v>
      </c>
      <c r="D776" s="4" t="str">
        <f>HYPERLINK("https://12go.asia/en/travel/beijing/maoming", "12Go Link")</f>
        <v>12Go Link</v>
      </c>
      <c r="E776" s="3" t="s">
        <v>94</v>
      </c>
      <c r="K776" s="5"/>
    </row>
    <row r="777">
      <c r="A777" s="3" t="s">
        <v>593</v>
      </c>
      <c r="B777" s="3" t="s">
        <v>677</v>
      </c>
      <c r="C777" s="3" t="s">
        <v>678</v>
      </c>
      <c r="D777" s="4" t="str">
        <f>HYPERLINK("https://12go.asia/en/travel/beijing/miluo", "12Go Link")</f>
        <v>12Go Link</v>
      </c>
      <c r="E777" s="3" t="s">
        <v>94</v>
      </c>
      <c r="K777" s="5"/>
    </row>
    <row r="778">
      <c r="A778" s="3" t="s">
        <v>593</v>
      </c>
      <c r="B778" s="3" t="s">
        <v>679</v>
      </c>
      <c r="C778" s="3" t="s">
        <v>680</v>
      </c>
      <c r="D778" s="4" t="str">
        <f>HYPERLINK("https://12go.asia/en/travel/beijing/mingxi", "12Go Link")</f>
        <v>12Go Link</v>
      </c>
      <c r="E778" s="3" t="s">
        <v>94</v>
      </c>
      <c r="K778" s="5"/>
    </row>
    <row r="779">
      <c r="A779" s="3" t="s">
        <v>593</v>
      </c>
      <c r="B779" s="3" t="s">
        <v>681</v>
      </c>
      <c r="C779" s="3" t="s">
        <v>682</v>
      </c>
      <c r="D779" s="4" t="str">
        <f>HYPERLINK("https://12go.asia/en/travel/beijing-west/nanchong", "12Go Link")</f>
        <v>12Go Link</v>
      </c>
      <c r="E779" s="3" t="s">
        <v>94</v>
      </c>
      <c r="K779" s="5"/>
    </row>
    <row r="780">
      <c r="A780" s="3" t="s">
        <v>593</v>
      </c>
      <c r="B780" s="3" t="s">
        <v>681</v>
      </c>
      <c r="C780" s="3" t="s">
        <v>683</v>
      </c>
      <c r="D780" s="4" t="str">
        <f>HYPERLINK("https://12go.asia/en/travel/beijing/nanchong", "12Go Link")</f>
        <v>12Go Link</v>
      </c>
      <c r="E780" s="3" t="s">
        <v>94</v>
      </c>
      <c r="K780" s="5"/>
    </row>
    <row r="781">
      <c r="A781" s="3" t="s">
        <v>593</v>
      </c>
      <c r="B781" s="3" t="s">
        <v>684</v>
      </c>
      <c r="C781" s="3" t="s">
        <v>685</v>
      </c>
      <c r="D781" s="4" t="str">
        <f>HYPERLINK("https://12go.asia/en/travel/beijing-fengtai/neijiang-north", "12Go Link")</f>
        <v>12Go Link</v>
      </c>
      <c r="E781" s="3" t="s">
        <v>94</v>
      </c>
      <c r="K781" s="5"/>
    </row>
    <row r="782">
      <c r="A782" s="3" t="s">
        <v>593</v>
      </c>
      <c r="B782" s="3" t="s">
        <v>684</v>
      </c>
      <c r="C782" s="3" t="s">
        <v>686</v>
      </c>
      <c r="D782" s="4" t="str">
        <f>HYPERLINK("https://12go.asia/en/travel/beijing-west/neijiang-north", "12Go Link")</f>
        <v>12Go Link</v>
      </c>
      <c r="E782" s="3" t="s">
        <v>94</v>
      </c>
      <c r="K782" s="5"/>
    </row>
    <row r="783">
      <c r="A783" s="3" t="s">
        <v>593</v>
      </c>
      <c r="B783" s="3" t="s">
        <v>684</v>
      </c>
      <c r="C783" s="3" t="s">
        <v>687</v>
      </c>
      <c r="D783" s="4" t="str">
        <f>HYPERLINK("https://12go.asia/en/travel/beijing/neijiang", "12Go Link")</f>
        <v>12Go Link</v>
      </c>
      <c r="E783" s="3" t="s">
        <v>94</v>
      </c>
      <c r="K783" s="5"/>
    </row>
    <row r="784">
      <c r="A784" s="3" t="s">
        <v>593</v>
      </c>
      <c r="B784" s="3" t="s">
        <v>688</v>
      </c>
      <c r="C784" s="3" t="s">
        <v>689</v>
      </c>
      <c r="D784" s="4" t="str">
        <f>HYPERLINK("https://12go.asia/en/travel/beijing/qi-county", "12Go Link")</f>
        <v>12Go Link</v>
      </c>
      <c r="E784" s="3" t="s">
        <v>94</v>
      </c>
      <c r="K784" s="5"/>
    </row>
    <row r="785">
      <c r="A785" s="3" t="s">
        <v>593</v>
      </c>
      <c r="B785" s="3" t="s">
        <v>548</v>
      </c>
      <c r="C785" s="3" t="s">
        <v>690</v>
      </c>
      <c r="D785" s="4" t="str">
        <f>HYPERLINK("https://12go.asia/en/travel/beijing/qinghai", "12Go Link")</f>
        <v>12Go Link</v>
      </c>
      <c r="E785" s="3" t="s">
        <v>94</v>
      </c>
      <c r="K785" s="5"/>
    </row>
    <row r="786">
      <c r="A786" s="3" t="s">
        <v>593</v>
      </c>
      <c r="B786" s="3" t="s">
        <v>550</v>
      </c>
      <c r="C786" s="3" t="s">
        <v>691</v>
      </c>
      <c r="D786" s="4" t="str">
        <f>HYPERLINK("https://12go.asia/en/travel/beijing/saihan", "12Go Link")</f>
        <v>12Go Link</v>
      </c>
      <c r="E786" s="3" t="s">
        <v>94</v>
      </c>
      <c r="K786" s="5"/>
    </row>
    <row r="787">
      <c r="A787" s="3" t="s">
        <v>593</v>
      </c>
      <c r="B787" s="3" t="s">
        <v>692</v>
      </c>
      <c r="C787" s="3" t="s">
        <v>693</v>
      </c>
      <c r="D787" s="4" t="str">
        <f>HYPERLINK("https://12go.asia/en/travel/beijing-south/dexing", "12Go Link")</f>
        <v>12Go Link</v>
      </c>
      <c r="E787" s="3" t="s">
        <v>94</v>
      </c>
      <c r="K787" s="5"/>
    </row>
    <row r="788">
      <c r="A788" s="3" t="s">
        <v>593</v>
      </c>
      <c r="B788" s="3" t="s">
        <v>694</v>
      </c>
      <c r="C788" s="3" t="s">
        <v>695</v>
      </c>
      <c r="D788" s="4" t="str">
        <f>HYPERLINK("https://12go.asia/en/travel/beijing-west/shaoguan-east", "12Go Link")</f>
        <v>12Go Link</v>
      </c>
      <c r="E788" s="3" t="s">
        <v>94</v>
      </c>
      <c r="K788" s="5"/>
    </row>
    <row r="789">
      <c r="A789" s="3" t="s">
        <v>593</v>
      </c>
      <c r="B789" s="3" t="s">
        <v>694</v>
      </c>
      <c r="C789" s="3" t="s">
        <v>696</v>
      </c>
      <c r="D789" s="4" t="str">
        <f>HYPERLINK("https://12go.asia/en/travel/beijing/shaoguan", "12Go Link")</f>
        <v>12Go Link</v>
      </c>
      <c r="E789" s="3" t="s">
        <v>94</v>
      </c>
      <c r="K789" s="5"/>
    </row>
    <row r="790">
      <c r="A790" s="3" t="s">
        <v>593</v>
      </c>
      <c r="B790" s="3" t="s">
        <v>560</v>
      </c>
      <c r="C790" s="3" t="s">
        <v>697</v>
      </c>
      <c r="D790" s="4" t="str">
        <f>HYPERLINK("https://12go.asia/en/travel/beijing/shuangliu", "12Go Link")</f>
        <v>12Go Link</v>
      </c>
      <c r="E790" s="3" t="s">
        <v>94</v>
      </c>
      <c r="K790" s="5"/>
    </row>
    <row r="791">
      <c r="A791" s="3" t="s">
        <v>593</v>
      </c>
      <c r="B791" s="3" t="s">
        <v>698</v>
      </c>
      <c r="C791" s="3" t="s">
        <v>699</v>
      </c>
      <c r="D791" s="4" t="str">
        <f>HYPERLINK("https://12go.asia/en/travel/beijing/sihui", "12Go Link")</f>
        <v>12Go Link</v>
      </c>
      <c r="E791" s="3" t="s">
        <v>94</v>
      </c>
      <c r="K791" s="5"/>
    </row>
    <row r="792">
      <c r="A792" s="3" t="s">
        <v>593</v>
      </c>
      <c r="B792" s="3" t="s">
        <v>700</v>
      </c>
      <c r="C792" s="3" t="s">
        <v>701</v>
      </c>
      <c r="D792" s="4" t="str">
        <f>HYPERLINK("https://12go.asia/en/travel/beijing-north/yangqu-west", "12Go Link")</f>
        <v>12Go Link</v>
      </c>
      <c r="E792" s="3" t="s">
        <v>94</v>
      </c>
      <c r="K792" s="5"/>
    </row>
    <row r="793">
      <c r="A793" s="3" t="s">
        <v>593</v>
      </c>
      <c r="B793" s="3" t="s">
        <v>564</v>
      </c>
      <c r="C793" s="3" t="s">
        <v>702</v>
      </c>
      <c r="D793" s="4" t="str">
        <f>HYPERLINK("https://12go.asia/en/travel/beijing/tianxin", "12Go Link")</f>
        <v>12Go Link</v>
      </c>
      <c r="E793" s="3" t="s">
        <v>94</v>
      </c>
      <c r="K793" s="5"/>
    </row>
    <row r="794">
      <c r="A794" s="3" t="s">
        <v>593</v>
      </c>
      <c r="B794" s="3" t="s">
        <v>703</v>
      </c>
      <c r="C794" s="3" t="s">
        <v>704</v>
      </c>
      <c r="D794" s="4" t="str">
        <f>HYPERLINK("https://12go.asia/en/travel/beijing-west/turpan-north", "12Go Link")</f>
        <v>12Go Link</v>
      </c>
      <c r="E794" s="3" t="s">
        <v>94</v>
      </c>
      <c r="K794" s="5"/>
    </row>
    <row r="795">
      <c r="A795" s="3" t="s">
        <v>593</v>
      </c>
      <c r="B795" s="3" t="s">
        <v>703</v>
      </c>
      <c r="C795" s="3" t="s">
        <v>705</v>
      </c>
      <c r="D795" s="4" t="str">
        <f>HYPERLINK("https://12go.asia/en/travel/beijing/turpan", "12Go Link")</f>
        <v>12Go Link</v>
      </c>
      <c r="E795" s="3" t="s">
        <v>94</v>
      </c>
      <c r="K795" s="5"/>
    </row>
    <row r="796">
      <c r="A796" s="3" t="s">
        <v>593</v>
      </c>
      <c r="B796" s="3" t="s">
        <v>566</v>
      </c>
      <c r="C796" s="3" t="s">
        <v>706</v>
      </c>
      <c r="D796" s="4" t="str">
        <f>HYPERLINK("https://12go.asia/en/travel/beijing/wenjiang", "12Go Link")</f>
        <v>12Go Link</v>
      </c>
      <c r="E796" s="3" t="s">
        <v>94</v>
      </c>
      <c r="K796" s="5"/>
    </row>
    <row r="797">
      <c r="A797" s="3" t="s">
        <v>593</v>
      </c>
      <c r="B797" s="3" t="s">
        <v>707</v>
      </c>
      <c r="C797" s="3" t="s">
        <v>708</v>
      </c>
      <c r="D797" s="4" t="str">
        <f>HYPERLINK("https://12go.asia/en/travel/beijing-south/wuwei", "12Go Link")</f>
        <v>12Go Link</v>
      </c>
      <c r="E797" s="3" t="s">
        <v>94</v>
      </c>
      <c r="K797" s="5"/>
    </row>
    <row r="798">
      <c r="A798" s="3" t="s">
        <v>593</v>
      </c>
      <c r="B798" s="3" t="s">
        <v>707</v>
      </c>
      <c r="C798" s="3" t="s">
        <v>709</v>
      </c>
      <c r="D798" s="4" t="str">
        <f>HYPERLINK("https://12go.asia/en/travel/beijing/wuwei", "12Go Link")</f>
        <v>12Go Link</v>
      </c>
      <c r="E798" s="3" t="s">
        <v>94</v>
      </c>
      <c r="K798" s="5"/>
    </row>
    <row r="799">
      <c r="A799" s="3" t="s">
        <v>593</v>
      </c>
      <c r="B799" s="3" t="s">
        <v>707</v>
      </c>
      <c r="C799" s="3" t="s">
        <v>710</v>
      </c>
      <c r="D799" s="4" t="str">
        <f>HYPERLINK("https://12go.asia/en/travel/beijing/wuwei-gansu", "12Go Link")</f>
        <v>12Go Link</v>
      </c>
      <c r="E799" s="3" t="s">
        <v>94</v>
      </c>
      <c r="K799" s="5"/>
    </row>
    <row r="800">
      <c r="A800" s="3" t="s">
        <v>593</v>
      </c>
      <c r="B800" s="3" t="s">
        <v>568</v>
      </c>
      <c r="C800" s="3" t="s">
        <v>711</v>
      </c>
      <c r="D800" s="4" t="str">
        <f>HYPERLINK("https://12go.asia/en/travel/beijing/xigu", "12Go Link")</f>
        <v>12Go Link</v>
      </c>
      <c r="E800" s="3" t="s">
        <v>94</v>
      </c>
      <c r="K800" s="5"/>
    </row>
    <row r="801">
      <c r="A801" s="3" t="s">
        <v>593</v>
      </c>
      <c r="B801" s="3" t="s">
        <v>712</v>
      </c>
      <c r="C801" s="3" t="s">
        <v>713</v>
      </c>
      <c r="D801" s="4" t="str">
        <f>HYPERLINK("https://12go.asia/en/travel/beijing/xihu", "12Go Link")</f>
        <v>12Go Link</v>
      </c>
      <c r="E801" s="3" t="s">
        <v>94</v>
      </c>
      <c r="K801" s="5"/>
    </row>
    <row r="802">
      <c r="A802" s="3" t="s">
        <v>593</v>
      </c>
      <c r="B802" s="3" t="s">
        <v>573</v>
      </c>
      <c r="C802" s="3" t="s">
        <v>714</v>
      </c>
      <c r="D802" s="4" t="str">
        <f>HYPERLINK("https://12go.asia/en/travel/beijing/xinyi", "12Go Link")</f>
        <v>12Go Link</v>
      </c>
      <c r="E802" s="3" t="s">
        <v>94</v>
      </c>
      <c r="K802" s="5"/>
    </row>
    <row r="803">
      <c r="A803" s="3" t="s">
        <v>593</v>
      </c>
      <c r="B803" s="3" t="s">
        <v>575</v>
      </c>
      <c r="C803" s="3" t="s">
        <v>715</v>
      </c>
      <c r="D803" s="4" t="str">
        <f>HYPERLINK("https://12go.asia/en/travel/beijing/xishui", "12Go Link")</f>
        <v>12Go Link</v>
      </c>
      <c r="E803" s="3" t="s">
        <v>94</v>
      </c>
      <c r="K803" s="5"/>
    </row>
    <row r="804">
      <c r="A804" s="3" t="s">
        <v>593</v>
      </c>
      <c r="B804" s="3" t="s">
        <v>716</v>
      </c>
      <c r="C804" s="3" t="s">
        <v>717</v>
      </c>
      <c r="D804" s="4" t="str">
        <f>HYPERLINK("https://12go.asia/en/travel/beijing/xuanzhou", "12Go Link")</f>
        <v>12Go Link</v>
      </c>
      <c r="E804" s="3" t="s">
        <v>94</v>
      </c>
      <c r="K804" s="5"/>
    </row>
    <row r="805">
      <c r="A805" s="3" t="s">
        <v>593</v>
      </c>
      <c r="B805" s="3" t="s">
        <v>577</v>
      </c>
      <c r="C805" s="3" t="s">
        <v>718</v>
      </c>
      <c r="D805" s="4" t="str">
        <f>HYPERLINK("https://12go.asia/en/travel/beijing/xunxian", "12Go Link")</f>
        <v>12Go Link</v>
      </c>
      <c r="E805" s="3" t="s">
        <v>94</v>
      </c>
      <c r="K805" s="5"/>
    </row>
    <row r="806">
      <c r="A806" s="3" t="s">
        <v>593</v>
      </c>
      <c r="B806" s="3" t="s">
        <v>579</v>
      </c>
      <c r="C806" s="3" t="s">
        <v>719</v>
      </c>
      <c r="D806" s="4" t="str">
        <f>HYPERLINK("https://12go.asia/en/travel/beijing/xuzhou-east", "12Go Link")</f>
        <v>12Go Link</v>
      </c>
      <c r="E806" s="3" t="s">
        <v>94</v>
      </c>
      <c r="K806" s="5"/>
    </row>
    <row r="807">
      <c r="A807" s="3" t="s">
        <v>593</v>
      </c>
      <c r="B807" s="3" t="s">
        <v>720</v>
      </c>
      <c r="C807" s="3" t="s">
        <v>721</v>
      </c>
      <c r="D807" s="4" t="str">
        <f>HYPERLINK("https://12go.asia/en/travel/beijing/yangchun", "12Go Link")</f>
        <v>12Go Link</v>
      </c>
      <c r="E807" s="3" t="s">
        <v>94</v>
      </c>
      <c r="K807" s="5"/>
    </row>
    <row r="808">
      <c r="A808" s="3" t="s">
        <v>593</v>
      </c>
      <c r="B808" s="3" t="s">
        <v>722</v>
      </c>
      <c r="C808" s="3" t="s">
        <v>723</v>
      </c>
      <c r="D808" s="4" t="str">
        <f>HYPERLINK("https://12go.asia/en/travel/beijing/yijiang", "12Go Link")</f>
        <v>12Go Link</v>
      </c>
      <c r="E808" s="3" t="s">
        <v>94</v>
      </c>
      <c r="K808" s="5"/>
    </row>
    <row r="809">
      <c r="A809" s="3" t="s">
        <v>593</v>
      </c>
      <c r="B809" s="3" t="s">
        <v>724</v>
      </c>
      <c r="C809" s="3" t="s">
        <v>725</v>
      </c>
      <c r="D809" s="4" t="str">
        <f>HYPERLINK("https://12go.asia/en/travel/beijing-west/zhongwei", "12Go Link")</f>
        <v>12Go Link</v>
      </c>
      <c r="E809" s="3" t="s">
        <v>94</v>
      </c>
      <c r="K809" s="5"/>
    </row>
    <row r="810">
      <c r="A810" s="3" t="s">
        <v>593</v>
      </c>
      <c r="B810" s="3" t="s">
        <v>724</v>
      </c>
      <c r="C810" s="3" t="s">
        <v>726</v>
      </c>
      <c r="D810" s="4" t="str">
        <f>HYPERLINK("https://12go.asia/en/travel/beijing/zhongwei", "12Go Link")</f>
        <v>12Go Link</v>
      </c>
      <c r="E810" s="3" t="s">
        <v>94</v>
      </c>
      <c r="K810" s="5"/>
    </row>
    <row r="811">
      <c r="A811" s="3" t="s">
        <v>593</v>
      </c>
      <c r="B811" s="3" t="s">
        <v>727</v>
      </c>
      <c r="C811" s="3" t="s">
        <v>728</v>
      </c>
      <c r="D811" s="4" t="str">
        <f>HYPERLINK("https://12go.asia/en/travel/beijing-west/zhuzhou", "12Go Link")</f>
        <v>12Go Link</v>
      </c>
      <c r="E811" s="3" t="s">
        <v>94</v>
      </c>
      <c r="K811" s="5"/>
    </row>
    <row r="812">
      <c r="A812" s="3" t="s">
        <v>593</v>
      </c>
      <c r="B812" s="3" t="s">
        <v>727</v>
      </c>
      <c r="C812" s="3" t="s">
        <v>729</v>
      </c>
      <c r="D812" s="4" t="str">
        <f>HYPERLINK("https://12go.asia/en/travel/beijing/zhuzhou", "12Go Link")</f>
        <v>12Go Link</v>
      </c>
      <c r="E812" s="3" t="s">
        <v>94</v>
      </c>
      <c r="K812" s="5"/>
    </row>
    <row r="813">
      <c r="A813" s="3" t="s">
        <v>593</v>
      </c>
      <c r="B813" s="3" t="s">
        <v>730</v>
      </c>
      <c r="C813" s="3" t="s">
        <v>731</v>
      </c>
      <c r="D813" s="4" t="str">
        <f>HYPERLINK("https://12go.asia/en/travel/beijing/blagoveshchensk", "12Go Link")</f>
        <v>12Go Link</v>
      </c>
      <c r="E813" s="3" t="s">
        <v>94</v>
      </c>
      <c r="K813" s="5"/>
    </row>
    <row r="814">
      <c r="A814" s="3" t="s">
        <v>594</v>
      </c>
      <c r="B814" s="3" t="s">
        <v>732</v>
      </c>
      <c r="C814" s="3" t="s">
        <v>733</v>
      </c>
      <c r="D814" s="4" t="str">
        <f>HYPERLINK("https://12go.asia/en/travel/beijing-daxing-airport/tangshan", "12Go Link")</f>
        <v>12Go Link</v>
      </c>
      <c r="E814" s="3" t="s">
        <v>94</v>
      </c>
      <c r="K814" s="5"/>
    </row>
    <row r="815">
      <c r="A815" s="3" t="s">
        <v>516</v>
      </c>
      <c r="B815" s="3" t="s">
        <v>587</v>
      </c>
      <c r="C815" s="3" t="s">
        <v>734</v>
      </c>
      <c r="D815" s="4" t="str">
        <f>HYPERLINK("https://12go.asia/en/travel/binhai-north/baoding-east", "12Go Link")</f>
        <v>12Go Link</v>
      </c>
      <c r="E815" s="3" t="s">
        <v>94</v>
      </c>
      <c r="K815" s="5"/>
    </row>
    <row r="816">
      <c r="A816" s="3" t="s">
        <v>516</v>
      </c>
      <c r="B816" s="3" t="s">
        <v>587</v>
      </c>
      <c r="C816" s="3" t="s">
        <v>735</v>
      </c>
      <c r="D816" s="4" t="str">
        <f>HYPERLINK("https://12go.asia/en/travel/binhai-west/baoding-east", "12Go Link")</f>
        <v>12Go Link</v>
      </c>
      <c r="E816" s="3" t="s">
        <v>94</v>
      </c>
      <c r="K816" s="5"/>
    </row>
    <row r="817">
      <c r="A817" s="3" t="s">
        <v>516</v>
      </c>
      <c r="B817" s="3" t="s">
        <v>587</v>
      </c>
      <c r="C817" s="3" t="s">
        <v>736</v>
      </c>
      <c r="D817" s="4" t="str">
        <f>HYPERLINK("https://12go.asia/en/travel/binhai/baoding", "12Go Link")</f>
        <v>12Go Link</v>
      </c>
      <c r="E817" s="3" t="s">
        <v>94</v>
      </c>
      <c r="K817" s="5"/>
    </row>
    <row r="818">
      <c r="A818" s="3" t="s">
        <v>516</v>
      </c>
      <c r="B818" s="3" t="s">
        <v>587</v>
      </c>
      <c r="C818" s="3" t="s">
        <v>737</v>
      </c>
      <c r="D818" s="4" t="str">
        <f>HYPERLINK("https://12go.asia/en/travel/tanggu/baoding", "12Go Link")</f>
        <v>12Go Link</v>
      </c>
      <c r="E818" s="3" t="s">
        <v>94</v>
      </c>
      <c r="K818" s="5"/>
    </row>
    <row r="819">
      <c r="A819" s="3" t="s">
        <v>516</v>
      </c>
      <c r="B819" s="3" t="s">
        <v>596</v>
      </c>
      <c r="C819" s="3" t="s">
        <v>738</v>
      </c>
      <c r="D819" s="4" t="str">
        <f>HYPERLINK("https://12go.asia/en/travel/binhai-west/bengbu-south", "12Go Link")</f>
        <v>12Go Link</v>
      </c>
      <c r="E819" s="3" t="s">
        <v>94</v>
      </c>
      <c r="K819" s="5"/>
    </row>
    <row r="820">
      <c r="A820" s="3" t="s">
        <v>516</v>
      </c>
      <c r="B820" s="3" t="s">
        <v>596</v>
      </c>
      <c r="C820" s="3" t="s">
        <v>739</v>
      </c>
      <c r="D820" s="4" t="str">
        <f>HYPERLINK("https://12go.asia/en/travel/binhai/bengbu", "12Go Link")</f>
        <v>12Go Link</v>
      </c>
      <c r="E820" s="3" t="s">
        <v>94</v>
      </c>
      <c r="K820" s="5"/>
    </row>
    <row r="821">
      <c r="A821" s="3" t="s">
        <v>516</v>
      </c>
      <c r="B821" s="3" t="s">
        <v>740</v>
      </c>
      <c r="C821" s="3" t="s">
        <v>741</v>
      </c>
      <c r="D821" s="4" t="str">
        <f>HYPERLINK("https://12go.asia/en/travel/binhai-north/changchun-west", "12Go Link")</f>
        <v>12Go Link</v>
      </c>
      <c r="E821" s="3" t="s">
        <v>94</v>
      </c>
      <c r="K821" s="5"/>
    </row>
    <row r="822">
      <c r="A822" s="3" t="s">
        <v>516</v>
      </c>
      <c r="B822" s="3" t="s">
        <v>740</v>
      </c>
      <c r="C822" s="3" t="s">
        <v>742</v>
      </c>
      <c r="D822" s="4" t="str">
        <f>HYPERLINK("https://12go.asia/en/travel/binhai-west/changchun-west", "12Go Link")</f>
        <v>12Go Link</v>
      </c>
      <c r="E822" s="3" t="s">
        <v>94</v>
      </c>
      <c r="K822" s="5"/>
    </row>
    <row r="823">
      <c r="A823" s="3" t="s">
        <v>516</v>
      </c>
      <c r="B823" s="3" t="s">
        <v>740</v>
      </c>
      <c r="C823" s="3" t="s">
        <v>743</v>
      </c>
      <c r="D823" s="4" t="str">
        <f>HYPERLINK("https://12go.asia/en/travel/binhai/changchun", "12Go Link")</f>
        <v>12Go Link</v>
      </c>
      <c r="E823" s="3" t="s">
        <v>94</v>
      </c>
      <c r="K823" s="5"/>
    </row>
    <row r="824">
      <c r="A824" s="3" t="s">
        <v>516</v>
      </c>
      <c r="B824" s="3" t="s">
        <v>740</v>
      </c>
      <c r="C824" s="3" t="s">
        <v>744</v>
      </c>
      <c r="D824" s="4" t="str">
        <f>HYPERLINK("https://12go.asia/en/travel/tanggu/changchun", "12Go Link")</f>
        <v>12Go Link</v>
      </c>
      <c r="E824" s="3" t="s">
        <v>94</v>
      </c>
      <c r="K824" s="5"/>
    </row>
    <row r="825">
      <c r="A825" s="3" t="s">
        <v>516</v>
      </c>
      <c r="B825" s="3" t="s">
        <v>745</v>
      </c>
      <c r="C825" s="3" t="s">
        <v>746</v>
      </c>
      <c r="D825" s="4" t="str">
        <f>HYPERLINK("https://12go.asia/en/travel/binhai-west/changsha-south", "12Go Link")</f>
        <v>12Go Link</v>
      </c>
      <c r="E825" s="3" t="s">
        <v>94</v>
      </c>
      <c r="K825" s="5"/>
    </row>
    <row r="826">
      <c r="A826" s="3" t="s">
        <v>516</v>
      </c>
      <c r="B826" s="3" t="s">
        <v>745</v>
      </c>
      <c r="C826" s="3" t="s">
        <v>747</v>
      </c>
      <c r="D826" s="4" t="str">
        <f>HYPERLINK("https://12go.asia/en/travel/binhai/changsha", "12Go Link")</f>
        <v>12Go Link</v>
      </c>
      <c r="E826" s="3" t="s">
        <v>94</v>
      </c>
      <c r="K826" s="5"/>
    </row>
    <row r="827">
      <c r="A827" s="3" t="s">
        <v>516</v>
      </c>
      <c r="B827" s="3" t="s">
        <v>604</v>
      </c>
      <c r="C827" s="3" t="s">
        <v>748</v>
      </c>
      <c r="D827" s="4" t="str">
        <f>HYPERLINK("https://12go.asia/en/travel/binhai-north/daqing-east", "12Go Link")</f>
        <v>12Go Link</v>
      </c>
      <c r="E827" s="3" t="s">
        <v>94</v>
      </c>
      <c r="K827" s="5"/>
    </row>
    <row r="828">
      <c r="A828" s="3" t="s">
        <v>516</v>
      </c>
      <c r="B828" s="3" t="s">
        <v>604</v>
      </c>
      <c r="C828" s="3" t="s">
        <v>749</v>
      </c>
      <c r="D828" s="4" t="str">
        <f>HYPERLINK("https://12go.asia/en/travel/binhai-west/daqing-east", "12Go Link")</f>
        <v>12Go Link</v>
      </c>
      <c r="E828" s="3" t="s">
        <v>94</v>
      </c>
      <c r="K828" s="5"/>
    </row>
    <row r="829">
      <c r="A829" s="3" t="s">
        <v>516</v>
      </c>
      <c r="B829" s="3" t="s">
        <v>604</v>
      </c>
      <c r="C829" s="3" t="s">
        <v>750</v>
      </c>
      <c r="D829" s="4" t="str">
        <f>HYPERLINK("https://12go.asia/en/travel/binhai/daqing", "12Go Link")</f>
        <v>12Go Link</v>
      </c>
      <c r="E829" s="3" t="s">
        <v>94</v>
      </c>
      <c r="K829" s="5"/>
    </row>
    <row r="830">
      <c r="A830" s="3" t="s">
        <v>516</v>
      </c>
      <c r="B830" s="3" t="s">
        <v>751</v>
      </c>
      <c r="C830" s="3" t="s">
        <v>752</v>
      </c>
      <c r="D830" s="4" t="str">
        <f>HYPERLINK("https://12go.asia/en/travel/binhai-north/handan-east", "12Go Link")</f>
        <v>12Go Link</v>
      </c>
      <c r="E830" s="3" t="s">
        <v>94</v>
      </c>
      <c r="K830" s="5"/>
    </row>
    <row r="831">
      <c r="A831" s="3" t="s">
        <v>516</v>
      </c>
      <c r="B831" s="3" t="s">
        <v>751</v>
      </c>
      <c r="C831" s="3" t="s">
        <v>753</v>
      </c>
      <c r="D831" s="4" t="str">
        <f>HYPERLINK("https://12go.asia/en/travel/binhai-west/handan-east", "12Go Link")</f>
        <v>12Go Link</v>
      </c>
      <c r="E831" s="3" t="s">
        <v>94</v>
      </c>
      <c r="K831" s="5"/>
    </row>
    <row r="832">
      <c r="A832" s="3" t="s">
        <v>516</v>
      </c>
      <c r="B832" s="3" t="s">
        <v>751</v>
      </c>
      <c r="C832" s="3" t="s">
        <v>754</v>
      </c>
      <c r="D832" s="4" t="str">
        <f>HYPERLINK("https://12go.asia/en/travel/binhai/handan", "12Go Link")</f>
        <v>12Go Link</v>
      </c>
      <c r="E832" s="3" t="s">
        <v>94</v>
      </c>
      <c r="K832" s="5"/>
    </row>
    <row r="833">
      <c r="A833" s="3" t="s">
        <v>516</v>
      </c>
      <c r="B833" s="3" t="s">
        <v>755</v>
      </c>
      <c r="C833" s="3" t="s">
        <v>756</v>
      </c>
      <c r="D833" s="4" t="str">
        <f>HYPERLINK("https://12go.asia/en/travel/binhai-west/hangzhou-west", "12Go Link")</f>
        <v>12Go Link</v>
      </c>
      <c r="E833" s="3" t="s">
        <v>94</v>
      </c>
      <c r="K833" s="5"/>
    </row>
    <row r="834">
      <c r="A834" s="3" t="s">
        <v>516</v>
      </c>
      <c r="B834" s="3" t="s">
        <v>622</v>
      </c>
      <c r="C834" s="3" t="s">
        <v>757</v>
      </c>
      <c r="D834" s="4" t="str">
        <f>HYPERLINK("https://12go.asia/en/travel/binhai/heshan", "12Go Link")</f>
        <v>12Go Link</v>
      </c>
      <c r="E834" s="3" t="s">
        <v>94</v>
      </c>
      <c r="K834" s="5"/>
    </row>
    <row r="835">
      <c r="A835" s="3" t="s">
        <v>516</v>
      </c>
      <c r="B835" s="3" t="s">
        <v>758</v>
      </c>
      <c r="C835" s="3" t="s">
        <v>759</v>
      </c>
      <c r="D835" s="4" t="str">
        <f>HYPERLINK("https://12go.asia/en/travel/binhai-west/heze-east-railway-station", "12Go Link")</f>
        <v>12Go Link</v>
      </c>
      <c r="E835" s="3" t="s">
        <v>94</v>
      </c>
      <c r="K835" s="5"/>
    </row>
    <row r="836">
      <c r="A836" s="3" t="s">
        <v>516</v>
      </c>
      <c r="B836" s="3" t="s">
        <v>758</v>
      </c>
      <c r="C836" s="3" t="s">
        <v>760</v>
      </c>
      <c r="D836" s="4" t="str">
        <f>HYPERLINK("https://12go.asia/en/travel/binhai/heze", "12Go Link")</f>
        <v>12Go Link</v>
      </c>
      <c r="E836" s="3" t="s">
        <v>94</v>
      </c>
      <c r="K836" s="5"/>
    </row>
    <row r="837">
      <c r="A837" s="3" t="s">
        <v>516</v>
      </c>
      <c r="B837" s="3" t="s">
        <v>536</v>
      </c>
      <c r="C837" s="3" t="s">
        <v>761</v>
      </c>
      <c r="D837" s="4" t="str">
        <f>HYPERLINK("https://12go.asia/en/travel/binhai/hunan", "12Go Link")</f>
        <v>12Go Link</v>
      </c>
      <c r="E837" s="3" t="s">
        <v>94</v>
      </c>
      <c r="K837" s="5"/>
    </row>
    <row r="838">
      <c r="A838" s="3" t="s">
        <v>516</v>
      </c>
      <c r="B838" s="3" t="s">
        <v>643</v>
      </c>
      <c r="C838" s="3" t="s">
        <v>762</v>
      </c>
      <c r="D838" s="4" t="str">
        <f>HYPERLINK("https://12go.asia/en/travel/binhai/jiangning", "12Go Link")</f>
        <v>12Go Link</v>
      </c>
      <c r="E838" s="3" t="s">
        <v>94</v>
      </c>
      <c r="K838" s="5"/>
    </row>
    <row r="839">
      <c r="A839" s="3" t="s">
        <v>516</v>
      </c>
      <c r="B839" s="3" t="s">
        <v>763</v>
      </c>
      <c r="C839" s="3" t="s">
        <v>764</v>
      </c>
      <c r="D839" s="4" t="str">
        <f>HYPERLINK("https://12go.asia/en/travel/binhai/jiangsu", "12Go Link")</f>
        <v>12Go Link</v>
      </c>
      <c r="E839" s="3" t="s">
        <v>94</v>
      </c>
      <c r="K839" s="5"/>
    </row>
    <row r="840">
      <c r="A840" s="3" t="s">
        <v>516</v>
      </c>
      <c r="B840" s="3" t="s">
        <v>542</v>
      </c>
      <c r="C840" s="3" t="s">
        <v>765</v>
      </c>
      <c r="D840" s="4" t="str">
        <f>HYPERLINK("https://12go.asia/en/travel/binhai/jiaocheng", "12Go Link")</f>
        <v>12Go Link</v>
      </c>
      <c r="E840" s="3" t="s">
        <v>94</v>
      </c>
      <c r="K840" s="5"/>
    </row>
    <row r="841">
      <c r="A841" s="3" t="s">
        <v>516</v>
      </c>
      <c r="B841" s="3" t="s">
        <v>766</v>
      </c>
      <c r="C841" s="3" t="s">
        <v>767</v>
      </c>
      <c r="D841" s="4" t="str">
        <f>HYPERLINK("https://12go.asia/en/travel/binhai-west/jinhua-south", "12Go Link")</f>
        <v>12Go Link</v>
      </c>
      <c r="E841" s="3" t="s">
        <v>94</v>
      </c>
      <c r="K841" s="5"/>
    </row>
    <row r="842">
      <c r="A842" s="3" t="s">
        <v>516</v>
      </c>
      <c r="B842" s="3" t="s">
        <v>766</v>
      </c>
      <c r="C842" s="3" t="s">
        <v>768</v>
      </c>
      <c r="D842" s="4" t="str">
        <f>HYPERLINK("https://12go.asia/en/travel/binhai/jinhua", "12Go Link")</f>
        <v>12Go Link</v>
      </c>
      <c r="E842" s="3" t="s">
        <v>94</v>
      </c>
      <c r="K842" s="5"/>
    </row>
    <row r="843">
      <c r="A843" s="3" t="s">
        <v>516</v>
      </c>
      <c r="B843" s="3" t="s">
        <v>769</v>
      </c>
      <c r="C843" s="3" t="s">
        <v>770</v>
      </c>
      <c r="D843" s="4" t="str">
        <f>HYPERLINK("https://12go.asia/en/travel/binhai-west/nanjing-south", "12Go Link")</f>
        <v>12Go Link</v>
      </c>
      <c r="E843" s="3" t="s">
        <v>94</v>
      </c>
      <c r="K843" s="5"/>
    </row>
    <row r="844">
      <c r="A844" s="3" t="s">
        <v>516</v>
      </c>
      <c r="B844" s="3" t="s">
        <v>769</v>
      </c>
      <c r="C844" s="3" t="s">
        <v>771</v>
      </c>
      <c r="D844" s="4" t="str">
        <f>HYPERLINK("https://12go.asia/en/travel/binhai/nanjing", "12Go Link")</f>
        <v>12Go Link</v>
      </c>
      <c r="E844" s="3" t="s">
        <v>94</v>
      </c>
      <c r="K844" s="5"/>
    </row>
    <row r="845">
      <c r="A845" s="3" t="s">
        <v>516</v>
      </c>
      <c r="B845" s="3" t="s">
        <v>772</v>
      </c>
      <c r="C845" s="3" t="s">
        <v>773</v>
      </c>
      <c r="D845" s="4" t="str">
        <f>HYPERLINK("https://12go.asia/en/travel/binhai-north/qiqihar-south", "12Go Link")</f>
        <v>12Go Link</v>
      </c>
      <c r="E845" s="3" t="s">
        <v>94</v>
      </c>
      <c r="K845" s="5"/>
    </row>
    <row r="846">
      <c r="A846" s="3" t="s">
        <v>516</v>
      </c>
      <c r="B846" s="3" t="s">
        <v>772</v>
      </c>
      <c r="C846" s="3" t="s">
        <v>774</v>
      </c>
      <c r="D846" s="4" t="str">
        <f>HYPERLINK("https://12go.asia/en/travel/binhai-west/qiqihar-south", "12Go Link")</f>
        <v>12Go Link</v>
      </c>
      <c r="E846" s="3" t="s">
        <v>94</v>
      </c>
      <c r="K846" s="5"/>
    </row>
    <row r="847">
      <c r="A847" s="3" t="s">
        <v>516</v>
      </c>
      <c r="B847" s="3" t="s">
        <v>772</v>
      </c>
      <c r="C847" s="3" t="s">
        <v>775</v>
      </c>
      <c r="D847" s="4" t="str">
        <f>HYPERLINK("https://12go.asia/en/travel/binhai/qiqihar", "12Go Link")</f>
        <v>12Go Link</v>
      </c>
      <c r="E847" s="3" t="s">
        <v>94</v>
      </c>
      <c r="K847" s="5"/>
    </row>
    <row r="848">
      <c r="A848" s="3" t="s">
        <v>516</v>
      </c>
      <c r="B848" s="3" t="s">
        <v>772</v>
      </c>
      <c r="C848" s="3" t="s">
        <v>776</v>
      </c>
      <c r="D848" s="4" t="str">
        <f>HYPERLINK("https://12go.asia/en/travel/tanggu/qiqihar", "12Go Link")</f>
        <v>12Go Link</v>
      </c>
      <c r="E848" s="3" t="s">
        <v>94</v>
      </c>
      <c r="K848" s="5"/>
    </row>
    <row r="849">
      <c r="A849" s="3" t="s">
        <v>516</v>
      </c>
      <c r="B849" s="3" t="s">
        <v>552</v>
      </c>
      <c r="C849" s="3" t="s">
        <v>777</v>
      </c>
      <c r="D849" s="4" t="str">
        <f>HYPERLINK("https://12go.asia/en/travel/binhai/shaanxi", "12Go Link")</f>
        <v>12Go Link</v>
      </c>
      <c r="E849" s="3" t="s">
        <v>94</v>
      </c>
      <c r="K849" s="5"/>
    </row>
    <row r="850">
      <c r="A850" s="3" t="s">
        <v>516</v>
      </c>
      <c r="B850" s="3" t="s">
        <v>512</v>
      </c>
      <c r="C850" s="3" t="s">
        <v>778</v>
      </c>
      <c r="D850" s="4" t="str">
        <f>HYPERLINK("https://12go.asia/en/travel/binhai-west/shanghai-hongqiao", "12Go Link")</f>
        <v>12Go Link</v>
      </c>
      <c r="E850" s="3" t="s">
        <v>94</v>
      </c>
      <c r="K850" s="5"/>
    </row>
    <row r="851">
      <c r="A851" s="3" t="s">
        <v>516</v>
      </c>
      <c r="B851" s="3" t="s">
        <v>512</v>
      </c>
      <c r="C851" s="3" t="s">
        <v>779</v>
      </c>
      <c r="D851" s="4" t="str">
        <f>HYPERLINK("https://12go.asia/en/travel/binhai/shanghai", "12Go Link")</f>
        <v>12Go Link</v>
      </c>
      <c r="E851" s="3" t="s">
        <v>94</v>
      </c>
      <c r="K851" s="5"/>
    </row>
    <row r="852">
      <c r="A852" s="3" t="s">
        <v>516</v>
      </c>
      <c r="B852" s="3" t="s">
        <v>780</v>
      </c>
      <c r="C852" s="3" t="s">
        <v>781</v>
      </c>
      <c r="D852" s="4" t="str">
        <f>HYPERLINK("https://12go.asia/en/travel/binhai-north/shanhaiguan", "12Go Link")</f>
        <v>12Go Link</v>
      </c>
      <c r="E852" s="3" t="s">
        <v>94</v>
      </c>
      <c r="K852" s="5"/>
    </row>
    <row r="853">
      <c r="A853" s="3" t="s">
        <v>516</v>
      </c>
      <c r="B853" s="3" t="s">
        <v>780</v>
      </c>
      <c r="C853" s="3" t="s">
        <v>782</v>
      </c>
      <c r="D853" s="4" t="str">
        <f>HYPERLINK("https://12go.asia/en/travel/binhai-west/shanhaiguan", "12Go Link")</f>
        <v>12Go Link</v>
      </c>
      <c r="E853" s="3" t="s">
        <v>94</v>
      </c>
      <c r="K853" s="5"/>
    </row>
    <row r="854">
      <c r="A854" s="3" t="s">
        <v>516</v>
      </c>
      <c r="B854" s="3" t="s">
        <v>780</v>
      </c>
      <c r="C854" s="3" t="s">
        <v>783</v>
      </c>
      <c r="D854" s="4" t="str">
        <f>HYPERLINK("https://12go.asia/en/travel/binhai/shanhaiguan", "12Go Link")</f>
        <v>12Go Link</v>
      </c>
      <c r="E854" s="3" t="s">
        <v>94</v>
      </c>
      <c r="K854" s="5"/>
    </row>
    <row r="855">
      <c r="A855" s="3" t="s">
        <v>516</v>
      </c>
      <c r="B855" s="3" t="s">
        <v>780</v>
      </c>
      <c r="C855" s="3" t="s">
        <v>784</v>
      </c>
      <c r="D855" s="4" t="str">
        <f>HYPERLINK("https://12go.asia/en/travel/tanggu/shanhaiguan", "12Go Link")</f>
        <v>12Go Link</v>
      </c>
      <c r="E855" s="3" t="s">
        <v>94</v>
      </c>
      <c r="K855" s="5"/>
    </row>
    <row r="856">
      <c r="A856" s="3" t="s">
        <v>516</v>
      </c>
      <c r="B856" s="3" t="s">
        <v>732</v>
      </c>
      <c r="C856" s="3" t="s">
        <v>785</v>
      </c>
      <c r="D856" s="4" t="str">
        <f>HYPERLINK("https://12go.asia/en/travel/binhai-north/tangshan", "12Go Link")</f>
        <v>12Go Link</v>
      </c>
      <c r="E856" s="3" t="s">
        <v>94</v>
      </c>
      <c r="K856" s="5"/>
    </row>
    <row r="857">
      <c r="A857" s="3" t="s">
        <v>516</v>
      </c>
      <c r="B857" s="3" t="s">
        <v>732</v>
      </c>
      <c r="C857" s="3" t="s">
        <v>786</v>
      </c>
      <c r="D857" s="4" t="str">
        <f>HYPERLINK("https://12go.asia/en/travel/binhai-west/tangshan", "12Go Link")</f>
        <v>12Go Link</v>
      </c>
      <c r="E857" s="3" t="s">
        <v>94</v>
      </c>
      <c r="K857" s="5"/>
    </row>
    <row r="858">
      <c r="A858" s="3" t="s">
        <v>516</v>
      </c>
      <c r="B858" s="3" t="s">
        <v>732</v>
      </c>
      <c r="C858" s="3" t="s">
        <v>787</v>
      </c>
      <c r="D858" s="4" t="str">
        <f>HYPERLINK("https://12go.asia/en/travel/binhai/tangshan", "12Go Link")</f>
        <v>12Go Link</v>
      </c>
      <c r="E858" s="3" t="s">
        <v>94</v>
      </c>
      <c r="K858" s="5"/>
    </row>
    <row r="859">
      <c r="A859" s="3" t="s">
        <v>516</v>
      </c>
      <c r="B859" s="3" t="s">
        <v>732</v>
      </c>
      <c r="C859" s="3" t="s">
        <v>788</v>
      </c>
      <c r="D859" s="4" t="str">
        <f>HYPERLINK("https://12go.asia/en/travel/tanggu/tangshan", "12Go Link")</f>
        <v>12Go Link</v>
      </c>
      <c r="E859" s="3" t="s">
        <v>94</v>
      </c>
      <c r="K859" s="5"/>
    </row>
    <row r="860">
      <c r="A860" s="3" t="s">
        <v>516</v>
      </c>
      <c r="B860" s="3" t="s">
        <v>564</v>
      </c>
      <c r="C860" s="3" t="s">
        <v>789</v>
      </c>
      <c r="D860" s="4" t="str">
        <f>HYPERLINK("https://12go.asia/en/travel/binhai/tianxin", "12Go Link")</f>
        <v>12Go Link</v>
      </c>
      <c r="E860" s="3" t="s">
        <v>94</v>
      </c>
      <c r="K860" s="5"/>
    </row>
    <row r="861">
      <c r="A861" s="3" t="s">
        <v>516</v>
      </c>
      <c r="B861" s="3" t="s">
        <v>790</v>
      </c>
      <c r="C861" s="3" t="s">
        <v>791</v>
      </c>
      <c r="D861" s="4" t="str">
        <f>HYPERLINK("https://12go.asia/en/travel/binhai/weifang", "12Go Link")</f>
        <v>12Go Link</v>
      </c>
      <c r="E861" s="3" t="s">
        <v>94</v>
      </c>
      <c r="K861" s="5"/>
    </row>
    <row r="862">
      <c r="A862" s="3" t="s">
        <v>516</v>
      </c>
      <c r="B862" s="3" t="s">
        <v>790</v>
      </c>
      <c r="C862" s="3" t="s">
        <v>792</v>
      </c>
      <c r="D862" s="4" t="str">
        <f>HYPERLINK("https://12go.asia/en/travel/tanggu/weifang", "12Go Link")</f>
        <v>12Go Link</v>
      </c>
      <c r="E862" s="3" t="s">
        <v>94</v>
      </c>
      <c r="K862" s="5"/>
    </row>
    <row r="863">
      <c r="A863" s="3" t="s">
        <v>516</v>
      </c>
      <c r="B863" s="3" t="s">
        <v>793</v>
      </c>
      <c r="C863" s="3" t="s">
        <v>794</v>
      </c>
      <c r="D863" s="4" t="str">
        <f>HYPERLINK("https://12go.asia/en/travel/binhai-west/wenzhou-south", "12Go Link")</f>
        <v>12Go Link</v>
      </c>
      <c r="E863" s="3" t="s">
        <v>94</v>
      </c>
      <c r="K863" s="5"/>
    </row>
    <row r="864">
      <c r="A864" s="3" t="s">
        <v>516</v>
      </c>
      <c r="B864" s="3" t="s">
        <v>793</v>
      </c>
      <c r="C864" s="3" t="s">
        <v>795</v>
      </c>
      <c r="D864" s="4" t="str">
        <f>HYPERLINK("https://12go.asia/en/travel/binhai/wenzhou", "12Go Link")</f>
        <v>12Go Link</v>
      </c>
      <c r="E864" s="3" t="s">
        <v>94</v>
      </c>
      <c r="K864" s="5"/>
    </row>
    <row r="865">
      <c r="A865" s="3" t="s">
        <v>516</v>
      </c>
      <c r="B865" s="3" t="s">
        <v>796</v>
      </c>
      <c r="C865" s="3" t="s">
        <v>797</v>
      </c>
      <c r="D865" s="4" t="str">
        <f>HYPERLINK("https://12go.asia/en/travel/binhai-west/wuhan", "12Go Link")</f>
        <v>12Go Link</v>
      </c>
      <c r="E865" s="3" t="s">
        <v>94</v>
      </c>
      <c r="K865" s="5"/>
    </row>
    <row r="866">
      <c r="A866" s="3" t="s">
        <v>516</v>
      </c>
      <c r="B866" s="3" t="s">
        <v>798</v>
      </c>
      <c r="C866" s="3" t="s">
        <v>799</v>
      </c>
      <c r="D866" s="4" t="str">
        <f>HYPERLINK("https://12go.asia/en/travel/binhai-west/wuxi-east", "12Go Link")</f>
        <v>12Go Link</v>
      </c>
      <c r="E866" s="3" t="s">
        <v>94</v>
      </c>
      <c r="K866" s="5"/>
    </row>
    <row r="867">
      <c r="A867" s="3" t="s">
        <v>516</v>
      </c>
      <c r="B867" s="3" t="s">
        <v>798</v>
      </c>
      <c r="C867" s="3" t="s">
        <v>800</v>
      </c>
      <c r="D867" s="4" t="str">
        <f>HYPERLINK("https://12go.asia/en/travel/binhai/wuxi-jiangsu", "12Go Link")</f>
        <v>12Go Link</v>
      </c>
      <c r="E867" s="3" t="s">
        <v>94</v>
      </c>
      <c r="K867" s="5"/>
    </row>
    <row r="868">
      <c r="A868" s="3" t="s">
        <v>516</v>
      </c>
      <c r="B868" s="3" t="s">
        <v>801</v>
      </c>
      <c r="C868" s="3" t="s">
        <v>802</v>
      </c>
      <c r="D868" s="4" t="str">
        <f>HYPERLINK("https://12go.asia/en/travel/binhai-north/xian-north", "12Go Link")</f>
        <v>12Go Link</v>
      </c>
      <c r="E868" s="3" t="s">
        <v>94</v>
      </c>
      <c r="K868" s="5"/>
    </row>
    <row r="869">
      <c r="A869" s="3" t="s">
        <v>516</v>
      </c>
      <c r="B869" s="3" t="s">
        <v>801</v>
      </c>
      <c r="C869" s="3" t="s">
        <v>803</v>
      </c>
      <c r="D869" s="4" t="str">
        <f>HYPERLINK("https://12go.asia/en/travel/binhai-west/xian-north", "12Go Link")</f>
        <v>12Go Link</v>
      </c>
      <c r="E869" s="3" t="s">
        <v>94</v>
      </c>
      <c r="K869" s="5"/>
    </row>
    <row r="870">
      <c r="A870" s="3" t="s">
        <v>516</v>
      </c>
      <c r="B870" s="3" t="s">
        <v>801</v>
      </c>
      <c r="C870" s="3" t="s">
        <v>804</v>
      </c>
      <c r="D870" s="4" t="str">
        <f>HYPERLINK("https://12go.asia/en/travel/binhai/xian", "12Go Link")</f>
        <v>12Go Link</v>
      </c>
      <c r="E870" s="3" t="s">
        <v>94</v>
      </c>
      <c r="K870" s="5"/>
    </row>
    <row r="871">
      <c r="A871" s="3" t="s">
        <v>516</v>
      </c>
      <c r="B871" s="3" t="s">
        <v>712</v>
      </c>
      <c r="C871" s="3" t="s">
        <v>805</v>
      </c>
      <c r="D871" s="4" t="str">
        <f>HYPERLINK("https://12go.asia/en/travel/binhai/xihu", "12Go Link")</f>
        <v>12Go Link</v>
      </c>
      <c r="E871" s="3" t="s">
        <v>94</v>
      </c>
      <c r="K871" s="5"/>
    </row>
    <row r="872">
      <c r="A872" s="3" t="s">
        <v>516</v>
      </c>
      <c r="B872" s="3" t="s">
        <v>806</v>
      </c>
      <c r="C872" s="3" t="s">
        <v>807</v>
      </c>
      <c r="D872" s="4" t="str">
        <f>HYPERLINK("https://12go.asia/en/travel/binhai-north/xinyang-east", "12Go Link")</f>
        <v>12Go Link</v>
      </c>
      <c r="E872" s="3" t="s">
        <v>94</v>
      </c>
      <c r="K872" s="5"/>
    </row>
    <row r="873">
      <c r="A873" s="3" t="s">
        <v>516</v>
      </c>
      <c r="B873" s="3" t="s">
        <v>806</v>
      </c>
      <c r="C873" s="3" t="s">
        <v>808</v>
      </c>
      <c r="D873" s="4" t="str">
        <f>HYPERLINK("https://12go.asia/en/travel/binhai/xinyang", "12Go Link")</f>
        <v>12Go Link</v>
      </c>
      <c r="E873" s="3" t="s">
        <v>94</v>
      </c>
      <c r="K873" s="5"/>
    </row>
    <row r="874">
      <c r="A874" s="3" t="s">
        <v>516</v>
      </c>
      <c r="B874" s="3" t="s">
        <v>809</v>
      </c>
      <c r="C874" s="3" t="s">
        <v>810</v>
      </c>
      <c r="D874" s="4" t="str">
        <f>HYPERLINK("https://12go.asia/en/travel/binhai-north/xuchang-east", "12Go Link")</f>
        <v>12Go Link</v>
      </c>
      <c r="E874" s="3" t="s">
        <v>94</v>
      </c>
      <c r="K874" s="5"/>
    </row>
    <row r="875">
      <c r="A875" s="3" t="s">
        <v>516</v>
      </c>
      <c r="B875" s="3" t="s">
        <v>809</v>
      </c>
      <c r="C875" s="3" t="s">
        <v>811</v>
      </c>
      <c r="D875" s="4" t="str">
        <f>HYPERLINK("https://12go.asia/en/travel/binhai/xuchang", "12Go Link")</f>
        <v>12Go Link</v>
      </c>
      <c r="E875" s="3" t="s">
        <v>94</v>
      </c>
      <c r="K875" s="5"/>
    </row>
    <row r="876">
      <c r="A876" s="3" t="s">
        <v>516</v>
      </c>
      <c r="B876" s="3" t="s">
        <v>577</v>
      </c>
      <c r="C876" s="3" t="s">
        <v>812</v>
      </c>
      <c r="D876" s="4" t="str">
        <f>HYPERLINK("https://12go.asia/en/travel/binhai/xunxian", "12Go Link")</f>
        <v>12Go Link</v>
      </c>
      <c r="E876" s="3" t="s">
        <v>94</v>
      </c>
      <c r="K876" s="5"/>
    </row>
    <row r="877">
      <c r="A877" s="3" t="s">
        <v>516</v>
      </c>
      <c r="B877" s="3" t="s">
        <v>579</v>
      </c>
      <c r="C877" s="3" t="s">
        <v>813</v>
      </c>
      <c r="D877" s="4" t="str">
        <f>HYPERLINK("https://12go.asia/en/travel/binhai-west/xuzhou-east", "12Go Link")</f>
        <v>12Go Link</v>
      </c>
      <c r="E877" s="3" t="s">
        <v>94</v>
      </c>
      <c r="K877" s="5"/>
    </row>
    <row r="878">
      <c r="A878" s="3" t="s">
        <v>516</v>
      </c>
      <c r="B878" s="3" t="s">
        <v>579</v>
      </c>
      <c r="C878" s="3" t="s">
        <v>814</v>
      </c>
      <c r="D878" s="4" t="str">
        <f>HYPERLINK("https://12go.asia/en/travel/binhai/xuzhou", "12Go Link")</f>
        <v>12Go Link</v>
      </c>
      <c r="E878" s="3" t="s">
        <v>94</v>
      </c>
      <c r="K878" s="5"/>
    </row>
    <row r="879">
      <c r="A879" s="3" t="s">
        <v>516</v>
      </c>
      <c r="B879" s="3" t="s">
        <v>722</v>
      </c>
      <c r="C879" s="3" t="s">
        <v>815</v>
      </c>
      <c r="D879" s="4" t="str">
        <f>HYPERLINK("https://12go.asia/en/travel/binhai/yijiang", "12Go Link")</f>
        <v>12Go Link</v>
      </c>
      <c r="E879" s="3" t="s">
        <v>94</v>
      </c>
      <c r="K879" s="5"/>
    </row>
    <row r="880">
      <c r="A880" s="3" t="s">
        <v>516</v>
      </c>
      <c r="B880" s="3" t="s">
        <v>816</v>
      </c>
      <c r="C880" s="3" t="s">
        <v>817</v>
      </c>
      <c r="D880" s="4" t="str">
        <f>HYPERLINK("https://12go.asia/en/travel/binhai-west/yiwu", "12Go Link")</f>
        <v>12Go Link</v>
      </c>
      <c r="E880" s="3" t="s">
        <v>94</v>
      </c>
      <c r="K880" s="5"/>
    </row>
    <row r="881">
      <c r="A881" s="3" t="s">
        <v>516</v>
      </c>
      <c r="B881" s="3" t="s">
        <v>816</v>
      </c>
      <c r="C881" s="3" t="s">
        <v>818</v>
      </c>
      <c r="D881" s="4" t="str">
        <f>HYPERLINK("https://12go.asia/en/travel/binhai/yiwu", "12Go Link")</f>
        <v>12Go Link</v>
      </c>
      <c r="E881" s="3" t="s">
        <v>94</v>
      </c>
      <c r="K881" s="5"/>
    </row>
    <row r="882">
      <c r="A882" s="3" t="s">
        <v>516</v>
      </c>
      <c r="B882" s="3" t="s">
        <v>819</v>
      </c>
      <c r="C882" s="3" t="s">
        <v>820</v>
      </c>
      <c r="D882" s="4" t="str">
        <f>HYPERLINK("https://12go.asia/en/travel/binhai-west/yueyang-east", "12Go Link")</f>
        <v>12Go Link</v>
      </c>
      <c r="E882" s="3" t="s">
        <v>94</v>
      </c>
      <c r="K882" s="5"/>
    </row>
    <row r="883">
      <c r="A883" s="3" t="s">
        <v>516</v>
      </c>
      <c r="B883" s="3" t="s">
        <v>819</v>
      </c>
      <c r="C883" s="3" t="s">
        <v>821</v>
      </c>
      <c r="D883" s="4" t="str">
        <f>HYPERLINK("https://12go.asia/en/travel/binhai/yueyang", "12Go Link")</f>
        <v>12Go Link</v>
      </c>
      <c r="E883" s="3" t="s">
        <v>94</v>
      </c>
      <c r="K883" s="5"/>
    </row>
    <row r="884">
      <c r="A884" s="3" t="s">
        <v>822</v>
      </c>
      <c r="B884" s="3" t="s">
        <v>823</v>
      </c>
      <c r="C884" s="3" t="s">
        <v>824</v>
      </c>
      <c r="D884" s="4" t="str">
        <f>HYPERLINK("https://12go.asia/en/travel/cangzhou-west/tianjin-south", "12Go Link")</f>
        <v>12Go Link</v>
      </c>
      <c r="E884" s="3" t="s">
        <v>94</v>
      </c>
      <c r="K884" s="5"/>
    </row>
    <row r="885">
      <c r="A885" s="3" t="s">
        <v>740</v>
      </c>
      <c r="B885" s="3" t="s">
        <v>516</v>
      </c>
      <c r="C885" s="3" t="s">
        <v>825</v>
      </c>
      <c r="D885" s="4" t="str">
        <f>HYPERLINK("https://12go.asia/en/travel/changchun-west/binhai-north", "12Go Link")</f>
        <v>12Go Link</v>
      </c>
      <c r="E885" s="3" t="s">
        <v>94</v>
      </c>
      <c r="K885" s="5"/>
    </row>
    <row r="886">
      <c r="A886" s="3" t="s">
        <v>740</v>
      </c>
      <c r="B886" s="3" t="s">
        <v>516</v>
      </c>
      <c r="C886" s="3" t="s">
        <v>826</v>
      </c>
      <c r="D886" s="4" t="str">
        <f>HYPERLINK("https://12go.asia/en/travel/changchun/binhai", "12Go Link")</f>
        <v>12Go Link</v>
      </c>
      <c r="E886" s="3" t="s">
        <v>94</v>
      </c>
      <c r="K886" s="5"/>
    </row>
    <row r="887">
      <c r="A887" s="3" t="s">
        <v>740</v>
      </c>
      <c r="B887" s="3" t="s">
        <v>516</v>
      </c>
      <c r="C887" s="3" t="s">
        <v>827</v>
      </c>
      <c r="D887" s="4" t="str">
        <f>HYPERLINK("https://12go.asia/en/travel/changchun/tanggu", "12Go Link")</f>
        <v>12Go Link</v>
      </c>
      <c r="E887" s="3" t="s">
        <v>94</v>
      </c>
      <c r="K887" s="5"/>
    </row>
    <row r="888">
      <c r="A888" s="3" t="s">
        <v>740</v>
      </c>
      <c r="B888" s="3" t="s">
        <v>828</v>
      </c>
      <c r="C888" s="3" t="s">
        <v>829</v>
      </c>
      <c r="D888" s="4" t="str">
        <f>HYPERLINK("https://12go.asia/en/travel/changchun/changyi", "12Go Link")</f>
        <v>12Go Link</v>
      </c>
      <c r="E888" s="3" t="s">
        <v>94</v>
      </c>
      <c r="K888" s="5"/>
    </row>
    <row r="889">
      <c r="A889" s="3" t="s">
        <v>740</v>
      </c>
      <c r="B889" s="3" t="s">
        <v>828</v>
      </c>
      <c r="C889" s="3" t="s">
        <v>830</v>
      </c>
      <c r="D889" s="4" t="str">
        <f>HYPERLINK("https://12go.asia/en/travel/changchun/shuangji", "12Go Link")</f>
        <v>12Go Link</v>
      </c>
      <c r="E889" s="3" t="s">
        <v>94</v>
      </c>
      <c r="K889" s="5"/>
    </row>
    <row r="890">
      <c r="A890" s="3" t="s">
        <v>740</v>
      </c>
      <c r="B890" s="3" t="s">
        <v>831</v>
      </c>
      <c r="C890" s="3" t="s">
        <v>832</v>
      </c>
      <c r="D890" s="4" t="str">
        <f>HYPERLINK("https://12go.asia/en/travel/changchun-west/changzhou-north", "12Go Link")</f>
        <v>12Go Link</v>
      </c>
      <c r="E890" s="3" t="s">
        <v>94</v>
      </c>
      <c r="K890" s="5"/>
    </row>
    <row r="891">
      <c r="A891" s="3" t="s">
        <v>740</v>
      </c>
      <c r="B891" s="3" t="s">
        <v>831</v>
      </c>
      <c r="C891" s="3" t="s">
        <v>833</v>
      </c>
      <c r="D891" s="4" t="str">
        <f>HYPERLINK("https://12go.asia/en/travel/changchun/changzhou-north", "12Go Link")</f>
        <v>12Go Link</v>
      </c>
      <c r="E891" s="3" t="s">
        <v>94</v>
      </c>
      <c r="K891" s="5"/>
    </row>
    <row r="892">
      <c r="A892" s="3" t="s">
        <v>740</v>
      </c>
      <c r="B892" s="3" t="s">
        <v>831</v>
      </c>
      <c r="C892" s="3" t="s">
        <v>834</v>
      </c>
      <c r="D892" s="4" t="str">
        <f>HYPERLINK("https://12go.asia/en/travel/changchun/changzhou", "12Go Link")</f>
        <v>12Go Link</v>
      </c>
      <c r="E892" s="3" t="s">
        <v>94</v>
      </c>
      <c r="K892" s="5"/>
    </row>
    <row r="893">
      <c r="A893" s="3" t="s">
        <v>740</v>
      </c>
      <c r="B893" s="3" t="s">
        <v>835</v>
      </c>
      <c r="C893" s="3" t="s">
        <v>836</v>
      </c>
      <c r="D893" s="4" t="str">
        <f>HYPERLINK("https://12go.asia/en/travel/changchun-west/beipiao", "12Go Link")</f>
        <v>12Go Link</v>
      </c>
      <c r="E893" s="3" t="s">
        <v>94</v>
      </c>
      <c r="K893" s="5"/>
    </row>
    <row r="894">
      <c r="A894" s="3" t="s">
        <v>740</v>
      </c>
      <c r="B894" s="3" t="s">
        <v>835</v>
      </c>
      <c r="C894" s="3" t="s">
        <v>837</v>
      </c>
      <c r="D894" s="4" t="str">
        <f>HYPERLINK("https://12go.asia/en/travel/changchun-west/liaoning-chaoyang", "12Go Link")</f>
        <v>12Go Link</v>
      </c>
      <c r="E894" s="3" t="s">
        <v>94</v>
      </c>
      <c r="K894" s="5"/>
    </row>
    <row r="895">
      <c r="A895" s="3" t="s">
        <v>740</v>
      </c>
      <c r="B895" s="3" t="s">
        <v>835</v>
      </c>
      <c r="C895" s="3" t="s">
        <v>838</v>
      </c>
      <c r="D895" s="4" t="str">
        <f>HYPERLINK("https://12go.asia/en/travel/changchun/beipiao", "12Go Link")</f>
        <v>12Go Link</v>
      </c>
      <c r="E895" s="3" t="s">
        <v>94</v>
      </c>
      <c r="K895" s="5"/>
    </row>
    <row r="896">
      <c r="A896" s="3" t="s">
        <v>740</v>
      </c>
      <c r="B896" s="3" t="s">
        <v>835</v>
      </c>
      <c r="C896" s="3" t="s">
        <v>839</v>
      </c>
      <c r="D896" s="4" t="str">
        <f>HYPERLINK("https://12go.asia/en/travel/changchun/chaoyang-liaoning", "12Go Link")</f>
        <v>12Go Link</v>
      </c>
      <c r="E896" s="3" t="s">
        <v>94</v>
      </c>
      <c r="K896" s="5"/>
    </row>
    <row r="897">
      <c r="A897" s="3" t="s">
        <v>740</v>
      </c>
      <c r="B897" s="3" t="s">
        <v>835</v>
      </c>
      <c r="C897" s="3" t="s">
        <v>840</v>
      </c>
      <c r="D897" s="4" t="str">
        <f>HYPERLINK("https://12go.asia/en/travel/changchun/liaoning-chaoyang", "12Go Link")</f>
        <v>12Go Link</v>
      </c>
      <c r="E897" s="3" t="s">
        <v>94</v>
      </c>
      <c r="K897" s="5"/>
    </row>
    <row r="898">
      <c r="A898" s="3" t="s">
        <v>740</v>
      </c>
      <c r="B898" s="3" t="s">
        <v>841</v>
      </c>
      <c r="C898" s="3" t="s">
        <v>842</v>
      </c>
      <c r="D898" s="4" t="str">
        <f>HYPERLINK("https://12go.asia/en/travel/changchun-west/chengdexian-north", "12Go Link")</f>
        <v>12Go Link</v>
      </c>
      <c r="E898" s="3" t="s">
        <v>94</v>
      </c>
      <c r="K898" s="5"/>
    </row>
    <row r="899">
      <c r="A899" s="3" t="s">
        <v>740</v>
      </c>
      <c r="B899" s="3" t="s">
        <v>604</v>
      </c>
      <c r="C899" s="3" t="s">
        <v>843</v>
      </c>
      <c r="D899" s="4" t="str">
        <f>HYPERLINK("https://12go.asia/en/travel/changchun-west/daqing-east", "12Go Link")</f>
        <v>12Go Link</v>
      </c>
      <c r="E899" s="3" t="s">
        <v>94</v>
      </c>
      <c r="K899" s="5"/>
    </row>
    <row r="900">
      <c r="A900" s="3" t="s">
        <v>740</v>
      </c>
      <c r="B900" s="3" t="s">
        <v>604</v>
      </c>
      <c r="C900" s="3" t="s">
        <v>844</v>
      </c>
      <c r="D900" s="4" t="str">
        <f>HYPERLINK("https://12go.asia/en/travel/changchun/daqing", "12Go Link")</f>
        <v>12Go Link</v>
      </c>
      <c r="E900" s="3" t="s">
        <v>94</v>
      </c>
      <c r="K900" s="5"/>
    </row>
    <row r="901">
      <c r="A901" s="3" t="s">
        <v>740</v>
      </c>
      <c r="B901" s="3" t="s">
        <v>604</v>
      </c>
      <c r="C901" s="3" t="s">
        <v>845</v>
      </c>
      <c r="D901" s="4" t="str">
        <f>HYPERLINK("https://12go.asia/en/travel/changchun/daqing-east", "12Go Link")</f>
        <v>12Go Link</v>
      </c>
      <c r="E901" s="3" t="s">
        <v>94</v>
      </c>
      <c r="K901" s="5"/>
    </row>
    <row r="902">
      <c r="A902" s="3" t="s">
        <v>740</v>
      </c>
      <c r="B902" s="3" t="s">
        <v>846</v>
      </c>
      <c r="C902" s="3" t="s">
        <v>847</v>
      </c>
      <c r="D902" s="4" t="str">
        <f>HYPERLINK("https://12go.asia/en/travel/changchun-west/dezhou-east", "12Go Link")</f>
        <v>12Go Link</v>
      </c>
      <c r="E902" s="3" t="s">
        <v>94</v>
      </c>
      <c r="K902" s="5"/>
    </row>
    <row r="903">
      <c r="A903" s="3" t="s">
        <v>740</v>
      </c>
      <c r="B903" s="3" t="s">
        <v>846</v>
      </c>
      <c r="C903" s="3" t="s">
        <v>848</v>
      </c>
      <c r="D903" s="4" t="str">
        <f>HYPERLINK("https://12go.asia/en/travel/changchun/dezhou", "12Go Link")</f>
        <v>12Go Link</v>
      </c>
      <c r="E903" s="3" t="s">
        <v>94</v>
      </c>
      <c r="K903" s="5"/>
    </row>
    <row r="904">
      <c r="A904" s="3" t="s">
        <v>740</v>
      </c>
      <c r="B904" s="3" t="s">
        <v>849</v>
      </c>
      <c r="C904" s="3" t="s">
        <v>850</v>
      </c>
      <c r="D904" s="4" t="str">
        <f>HYPERLINK("https://12go.asia/en/travel/changchun/ganzhou", "12Go Link")</f>
        <v>12Go Link</v>
      </c>
      <c r="E904" s="3" t="s">
        <v>94</v>
      </c>
      <c r="K904" s="5"/>
    </row>
    <row r="905">
      <c r="A905" s="3" t="s">
        <v>740</v>
      </c>
      <c r="B905" s="3" t="s">
        <v>851</v>
      </c>
      <c r="C905" s="3" t="s">
        <v>852</v>
      </c>
      <c r="D905" s="4" t="str">
        <f>HYPERLINK("https://12go.asia/en/travel/changchun/guangxi", "12Go Link")</f>
        <v>12Go Link</v>
      </c>
      <c r="E905" s="3" t="s">
        <v>94</v>
      </c>
      <c r="K905" s="5"/>
    </row>
    <row r="906">
      <c r="A906" s="3" t="s">
        <v>740</v>
      </c>
      <c r="B906" s="3" t="s">
        <v>853</v>
      </c>
      <c r="C906" s="3" t="s">
        <v>854</v>
      </c>
      <c r="D906" s="4" t="str">
        <f>HYPERLINK("https://12go.asia/en/travel/changchun/guilin", "12Go Link")</f>
        <v>12Go Link</v>
      </c>
      <c r="E906" s="3" t="s">
        <v>94</v>
      </c>
      <c r="K906" s="5"/>
    </row>
    <row r="907">
      <c r="A907" s="3" t="s">
        <v>740</v>
      </c>
      <c r="B907" s="3" t="s">
        <v>855</v>
      </c>
      <c r="C907" s="3" t="s">
        <v>856</v>
      </c>
      <c r="D907" s="4" t="str">
        <f>HYPERLINK("https://12go.asia/en/travel/changchun/hainan", "12Go Link")</f>
        <v>12Go Link</v>
      </c>
      <c r="E907" s="3" t="s">
        <v>94</v>
      </c>
      <c r="K907" s="5"/>
    </row>
    <row r="908">
      <c r="A908" s="3" t="s">
        <v>740</v>
      </c>
      <c r="B908" s="3" t="s">
        <v>530</v>
      </c>
      <c r="C908" s="3" t="s">
        <v>857</v>
      </c>
      <c r="D908" s="4" t="str">
        <f>HYPERLINK("https://12go.asia/en/travel/changchun/hebei", "12Go Link")</f>
        <v>12Go Link</v>
      </c>
      <c r="E908" s="3" t="s">
        <v>94</v>
      </c>
      <c r="K908" s="5"/>
    </row>
    <row r="909">
      <c r="A909" s="3" t="s">
        <v>740</v>
      </c>
      <c r="B909" s="3" t="s">
        <v>858</v>
      </c>
      <c r="C909" s="3" t="s">
        <v>859</v>
      </c>
      <c r="D909" s="4" t="str">
        <f>HYPERLINK("https://12go.asia/en/travel/changchun/heihe", "12Go Link")</f>
        <v>12Go Link</v>
      </c>
      <c r="E909" s="3" t="s">
        <v>94</v>
      </c>
      <c r="K909" s="5"/>
    </row>
    <row r="910">
      <c r="A910" s="3" t="s">
        <v>740</v>
      </c>
      <c r="B910" s="3" t="s">
        <v>860</v>
      </c>
      <c r="C910" s="3" t="s">
        <v>861</v>
      </c>
      <c r="D910" s="4" t="str">
        <f>HYPERLINK("https://12go.asia/en/travel/changchun/hohhot-east", "12Go Link")</f>
        <v>12Go Link</v>
      </c>
      <c r="E910" s="3" t="s">
        <v>94</v>
      </c>
      <c r="K910" s="5"/>
    </row>
    <row r="911">
      <c r="A911" s="3" t="s">
        <v>740</v>
      </c>
      <c r="B911" s="3" t="s">
        <v>628</v>
      </c>
      <c r="C911" s="3" t="s">
        <v>862</v>
      </c>
      <c r="D911" s="4" t="str">
        <f>HYPERLINK("https://12go.asia/en/travel/changchun/huadu", "12Go Link")</f>
        <v>12Go Link</v>
      </c>
      <c r="E911" s="3" t="s">
        <v>94</v>
      </c>
      <c r="K911" s="5"/>
    </row>
    <row r="912">
      <c r="A912" s="3" t="s">
        <v>740</v>
      </c>
      <c r="B912" s="3" t="s">
        <v>632</v>
      </c>
      <c r="C912" s="3" t="s">
        <v>863</v>
      </c>
      <c r="D912" s="4" t="str">
        <f>HYPERLINK("https://12go.asia/en/travel/changchun/guangzhoubaiyun", "12Go Link")</f>
        <v>12Go Link</v>
      </c>
      <c r="E912" s="3" t="s">
        <v>94</v>
      </c>
      <c r="K912" s="5"/>
    </row>
    <row r="913">
      <c r="A913" s="3" t="s">
        <v>740</v>
      </c>
      <c r="B913" s="3" t="s">
        <v>632</v>
      </c>
      <c r="C913" s="3" t="s">
        <v>864</v>
      </c>
      <c r="D913" s="4" t="str">
        <f>HYPERLINK("https://12go.asia/en/travel/changchun/huaxi", "12Go Link")</f>
        <v>12Go Link</v>
      </c>
      <c r="E913" s="3" t="s">
        <v>94</v>
      </c>
      <c r="K913" s="5"/>
    </row>
    <row r="914">
      <c r="A914" s="3" t="s">
        <v>740</v>
      </c>
      <c r="B914" s="3" t="s">
        <v>865</v>
      </c>
      <c r="C914" s="3" t="s">
        <v>866</v>
      </c>
      <c r="D914" s="4" t="str">
        <f>HYPERLINK("https://12go.asia/en/travel/changchun-west/huludao-north", "12Go Link")</f>
        <v>12Go Link</v>
      </c>
      <c r="E914" s="3" t="s">
        <v>94</v>
      </c>
      <c r="K914" s="5"/>
    </row>
    <row r="915">
      <c r="A915" s="3" t="s">
        <v>740</v>
      </c>
      <c r="B915" s="3" t="s">
        <v>865</v>
      </c>
      <c r="C915" s="3" t="s">
        <v>867</v>
      </c>
      <c r="D915" s="4" t="str">
        <f>HYPERLINK("https://12go.asia/en/travel/changchun/huludao", "12Go Link")</f>
        <v>12Go Link</v>
      </c>
      <c r="E915" s="3" t="s">
        <v>94</v>
      </c>
      <c r="K915" s="5"/>
    </row>
    <row r="916">
      <c r="A916" s="3" t="s">
        <v>740</v>
      </c>
      <c r="B916" s="3" t="s">
        <v>865</v>
      </c>
      <c r="C916" s="3" t="s">
        <v>868</v>
      </c>
      <c r="D916" s="4" t="str">
        <f>HYPERLINK("https://12go.asia/en/travel/changchun/huludao-north", "12Go Link")</f>
        <v>12Go Link</v>
      </c>
      <c r="E916" s="3" t="s">
        <v>94</v>
      </c>
      <c r="K916" s="5"/>
    </row>
    <row r="917">
      <c r="A917" s="3" t="s">
        <v>740</v>
      </c>
      <c r="B917" s="3" t="s">
        <v>643</v>
      </c>
      <c r="C917" s="3" t="s">
        <v>869</v>
      </c>
      <c r="D917" s="4" t="str">
        <f>HYPERLINK("https://12go.asia/en/travel/changchun/jiangning", "12Go Link")</f>
        <v>12Go Link</v>
      </c>
      <c r="E917" s="3" t="s">
        <v>94</v>
      </c>
      <c r="K917" s="5"/>
    </row>
    <row r="918">
      <c r="A918" s="3" t="s">
        <v>740</v>
      </c>
      <c r="B918" s="3" t="s">
        <v>538</v>
      </c>
      <c r="C918" s="3" t="s">
        <v>870</v>
      </c>
      <c r="D918" s="4" t="str">
        <f>HYPERLINK("https://12go.asia/en/travel/changchun/jiangxi", "12Go Link")</f>
        <v>12Go Link</v>
      </c>
      <c r="E918" s="3" t="s">
        <v>94</v>
      </c>
      <c r="K918" s="5"/>
    </row>
    <row r="919">
      <c r="A919" s="3" t="s">
        <v>740</v>
      </c>
      <c r="B919" s="3" t="s">
        <v>542</v>
      </c>
      <c r="C919" s="3" t="s">
        <v>871</v>
      </c>
      <c r="D919" s="4" t="str">
        <f>HYPERLINK("https://12go.asia/en/travel/changchun/jiaocheng", "12Go Link")</f>
        <v>12Go Link</v>
      </c>
      <c r="E919" s="3" t="s">
        <v>94</v>
      </c>
      <c r="K919" s="5"/>
    </row>
    <row r="920">
      <c r="A920" s="3" t="s">
        <v>740</v>
      </c>
      <c r="B920" s="3" t="s">
        <v>663</v>
      </c>
      <c r="C920" s="3" t="s">
        <v>872</v>
      </c>
      <c r="D920" s="4" t="str">
        <f>HYPERLINK("https://12go.asia/en/travel/changchun/liaoyuan", "12Go Link")</f>
        <v>12Go Link</v>
      </c>
      <c r="E920" s="3" t="s">
        <v>94</v>
      </c>
      <c r="K920" s="5"/>
    </row>
    <row r="921">
      <c r="A921" s="3" t="s">
        <v>740</v>
      </c>
      <c r="B921" s="3" t="s">
        <v>679</v>
      </c>
      <c r="C921" s="3" t="s">
        <v>873</v>
      </c>
      <c r="D921" s="4" t="str">
        <f>HYPERLINK("https://12go.asia/en/travel/changchun/mingxi", "12Go Link")</f>
        <v>12Go Link</v>
      </c>
      <c r="E921" s="3" t="s">
        <v>94</v>
      </c>
      <c r="K921" s="5"/>
    </row>
    <row r="922">
      <c r="A922" s="3" t="s">
        <v>740</v>
      </c>
      <c r="B922" s="3" t="s">
        <v>874</v>
      </c>
      <c r="C922" s="3" t="s">
        <v>875</v>
      </c>
      <c r="D922" s="4" t="str">
        <f>HYPERLINK("https://12go.asia/en/travel/changchun/nanchang", "12Go Link")</f>
        <v>12Go Link</v>
      </c>
      <c r="E922" s="3" t="s">
        <v>94</v>
      </c>
      <c r="K922" s="5"/>
    </row>
    <row r="923">
      <c r="A923" s="3" t="s">
        <v>740</v>
      </c>
      <c r="B923" s="3" t="s">
        <v>548</v>
      </c>
      <c r="C923" s="3" t="s">
        <v>876</v>
      </c>
      <c r="D923" s="4" t="str">
        <f>HYPERLINK("https://12go.asia/en/travel/changchun/qinghai", "12Go Link")</f>
        <v>12Go Link</v>
      </c>
      <c r="E923" s="3" t="s">
        <v>94</v>
      </c>
      <c r="K923" s="5"/>
    </row>
    <row r="924">
      <c r="A924" s="3" t="s">
        <v>740</v>
      </c>
      <c r="B924" s="3" t="s">
        <v>552</v>
      </c>
      <c r="C924" s="3" t="s">
        <v>877</v>
      </c>
      <c r="D924" s="4" t="str">
        <f>HYPERLINK("https://12go.asia/en/travel/changchun/shaanxi", "12Go Link")</f>
        <v>12Go Link</v>
      </c>
      <c r="E924" s="3" t="s">
        <v>94</v>
      </c>
      <c r="K924" s="5"/>
    </row>
    <row r="925">
      <c r="A925" s="3" t="s">
        <v>740</v>
      </c>
      <c r="B925" s="3" t="s">
        <v>878</v>
      </c>
      <c r="C925" s="3" t="s">
        <v>879</v>
      </c>
      <c r="D925" s="4" t="str">
        <f>HYPERLINK("https://12go.asia/en/travel/changchun-west/shijiazhuang", "12Go Link")</f>
        <v>12Go Link</v>
      </c>
      <c r="E925" s="3" t="s">
        <v>94</v>
      </c>
      <c r="K925" s="5"/>
    </row>
    <row r="926">
      <c r="A926" s="3" t="s">
        <v>740</v>
      </c>
      <c r="B926" s="3" t="s">
        <v>878</v>
      </c>
      <c r="C926" s="3" t="s">
        <v>880</v>
      </c>
      <c r="D926" s="4" t="str">
        <f>HYPERLINK("https://12go.asia/en/travel/changchun/shijiazhuang", "12Go Link")</f>
        <v>12Go Link</v>
      </c>
      <c r="E926" s="3" t="s">
        <v>94</v>
      </c>
      <c r="K926" s="5"/>
    </row>
    <row r="927">
      <c r="A927" s="3" t="s">
        <v>740</v>
      </c>
      <c r="B927" s="3" t="s">
        <v>878</v>
      </c>
      <c r="C927" s="3" t="s">
        <v>881</v>
      </c>
      <c r="D927" s="4" t="str">
        <f>HYPERLINK("https://12go.asia/en/travel/changchun/shijiazhuang-north", "12Go Link")</f>
        <v>12Go Link</v>
      </c>
      <c r="E927" s="3" t="s">
        <v>94</v>
      </c>
      <c r="K927" s="5"/>
    </row>
    <row r="928">
      <c r="A928" s="3" t="s">
        <v>740</v>
      </c>
      <c r="B928" s="3" t="s">
        <v>562</v>
      </c>
      <c r="C928" s="3" t="s">
        <v>882</v>
      </c>
      <c r="D928" s="4" t="str">
        <f>HYPERLINK("https://12go.asia/en/travel/changchun/sichuan", "12Go Link")</f>
        <v>12Go Link</v>
      </c>
      <c r="E928" s="3" t="s">
        <v>94</v>
      </c>
      <c r="K928" s="5"/>
    </row>
    <row r="929">
      <c r="A929" s="3" t="s">
        <v>740</v>
      </c>
      <c r="B929" s="3" t="s">
        <v>883</v>
      </c>
      <c r="C929" s="3" t="s">
        <v>884</v>
      </c>
      <c r="D929" s="4" t="str">
        <f>HYPERLINK("https://12go.asia/en/travel/changchun/taian", "12Go Link")</f>
        <v>12Go Link</v>
      </c>
      <c r="E929" s="3" t="s">
        <v>94</v>
      </c>
      <c r="K929" s="5"/>
    </row>
    <row r="930">
      <c r="A930" s="3" t="s">
        <v>740</v>
      </c>
      <c r="B930" s="3" t="s">
        <v>732</v>
      </c>
      <c r="C930" s="3" t="s">
        <v>885</v>
      </c>
      <c r="D930" s="4" t="str">
        <f>HYPERLINK("https://12go.asia/en/travel/changchun-west/tangshan", "12Go Link")</f>
        <v>12Go Link</v>
      </c>
      <c r="E930" s="3" t="s">
        <v>94</v>
      </c>
      <c r="K930" s="5"/>
    </row>
    <row r="931">
      <c r="A931" s="3" t="s">
        <v>740</v>
      </c>
      <c r="B931" s="3" t="s">
        <v>732</v>
      </c>
      <c r="C931" s="3" t="s">
        <v>886</v>
      </c>
      <c r="D931" s="4" t="str">
        <f>HYPERLINK("https://12go.asia/en/travel/changchun/tangshan", "12Go Link")</f>
        <v>12Go Link</v>
      </c>
      <c r="E931" s="3" t="s">
        <v>94</v>
      </c>
      <c r="K931" s="5"/>
    </row>
    <row r="932">
      <c r="A932" s="3" t="s">
        <v>740</v>
      </c>
      <c r="B932" s="3" t="s">
        <v>732</v>
      </c>
      <c r="C932" s="3" t="s">
        <v>887</v>
      </c>
      <c r="D932" s="4" t="str">
        <f>HYPERLINK("https://12go.asia/en/travel/changchun/tangshan-north", "12Go Link")</f>
        <v>12Go Link</v>
      </c>
      <c r="E932" s="3" t="s">
        <v>94</v>
      </c>
      <c r="K932" s="5"/>
    </row>
    <row r="933">
      <c r="A933" s="3" t="s">
        <v>740</v>
      </c>
      <c r="B933" s="3" t="s">
        <v>564</v>
      </c>
      <c r="C933" s="3" t="s">
        <v>888</v>
      </c>
      <c r="D933" s="4" t="str">
        <f>HYPERLINK("https://12go.asia/en/travel/changchun/tianxin", "12Go Link")</f>
        <v>12Go Link</v>
      </c>
      <c r="E933" s="3" t="s">
        <v>94</v>
      </c>
      <c r="K933" s="5"/>
    </row>
    <row r="934">
      <c r="A934" s="3" t="s">
        <v>740</v>
      </c>
      <c r="B934" s="3" t="s">
        <v>577</v>
      </c>
      <c r="C934" s="3" t="s">
        <v>889</v>
      </c>
      <c r="D934" s="4" t="str">
        <f>HYPERLINK("https://12go.asia/en/travel/changchun/xunxian", "12Go Link")</f>
        <v>12Go Link</v>
      </c>
      <c r="E934" s="3" t="s">
        <v>94</v>
      </c>
      <c r="K934" s="5"/>
    </row>
    <row r="935">
      <c r="A935" s="3" t="s">
        <v>740</v>
      </c>
      <c r="B935" s="3" t="s">
        <v>579</v>
      </c>
      <c r="C935" s="3" t="s">
        <v>890</v>
      </c>
      <c r="D935" s="4" t="str">
        <f>HYPERLINK("https://12go.asia/en/travel/changchun-west/xuzhou-east", "12Go Link")</f>
        <v>12Go Link</v>
      </c>
      <c r="E935" s="3" t="s">
        <v>94</v>
      </c>
      <c r="K935" s="5"/>
    </row>
    <row r="936">
      <c r="A936" s="3" t="s">
        <v>740</v>
      </c>
      <c r="B936" s="3" t="s">
        <v>579</v>
      </c>
      <c r="C936" s="3" t="s">
        <v>891</v>
      </c>
      <c r="D936" s="4" t="str">
        <f>HYPERLINK("https://12go.asia/en/travel/changchun/xuzhou", "12Go Link")</f>
        <v>12Go Link</v>
      </c>
      <c r="E936" s="3" t="s">
        <v>94</v>
      </c>
      <c r="K936" s="5"/>
    </row>
    <row r="937">
      <c r="A937" s="3" t="s">
        <v>740</v>
      </c>
      <c r="B937" s="3" t="s">
        <v>579</v>
      </c>
      <c r="C937" s="3" t="s">
        <v>892</v>
      </c>
      <c r="D937" s="4" t="str">
        <f>HYPERLINK("https://12go.asia/en/travel/changchun/xuzhou-east", "12Go Link")</f>
        <v>12Go Link</v>
      </c>
      <c r="E937" s="3" t="s">
        <v>94</v>
      </c>
      <c r="K937" s="5"/>
    </row>
    <row r="938">
      <c r="A938" s="3" t="s">
        <v>740</v>
      </c>
      <c r="B938" s="3" t="s">
        <v>893</v>
      </c>
      <c r="C938" s="3" t="s">
        <v>894</v>
      </c>
      <c r="D938" s="4" t="str">
        <f>HYPERLINK("https://12go.asia/en/travel/changchun/yabuli", "12Go Link")</f>
        <v>12Go Link</v>
      </c>
      <c r="E938" s="3" t="s">
        <v>94</v>
      </c>
      <c r="K938" s="5"/>
    </row>
    <row r="939">
      <c r="A939" s="3" t="s">
        <v>740</v>
      </c>
      <c r="B939" s="3" t="s">
        <v>895</v>
      </c>
      <c r="C939" s="3" t="s">
        <v>896</v>
      </c>
      <c r="D939" s="4" t="str">
        <f>HYPERLINK("https://12go.asia/en/travel/changchun/yancheng", "12Go Link")</f>
        <v>12Go Link</v>
      </c>
      <c r="E939" s="3" t="s">
        <v>94</v>
      </c>
      <c r="K939" s="5"/>
    </row>
    <row r="940">
      <c r="A940" s="3" t="s">
        <v>740</v>
      </c>
      <c r="B940" s="3" t="s">
        <v>897</v>
      </c>
      <c r="C940" s="3" t="s">
        <v>898</v>
      </c>
      <c r="D940" s="4" t="str">
        <f>HYPERLINK("https://12go.asia/en/travel/changchun/yantai", "12Go Link")</f>
        <v>12Go Link</v>
      </c>
      <c r="E940" s="3" t="s">
        <v>94</v>
      </c>
      <c r="K940" s="5"/>
    </row>
    <row r="941">
      <c r="A941" s="3" t="s">
        <v>740</v>
      </c>
      <c r="B941" s="3" t="s">
        <v>899</v>
      </c>
      <c r="C941" s="3" t="s">
        <v>900</v>
      </c>
      <c r="D941" s="4" t="str">
        <f>HYPERLINK("https://12go.asia/en/travel/changchun/yichun-heilongjiang", "12Go Link")</f>
        <v>12Go Link</v>
      </c>
      <c r="E941" s="3" t="s">
        <v>94</v>
      </c>
      <c r="K941" s="5"/>
    </row>
    <row r="942">
      <c r="A942" s="3" t="s">
        <v>740</v>
      </c>
      <c r="B942" s="3" t="s">
        <v>722</v>
      </c>
      <c r="C942" s="3" t="s">
        <v>901</v>
      </c>
      <c r="D942" s="4" t="str">
        <f>HYPERLINK("https://12go.asia/en/travel/changchun/yijiang", "12Go Link")</f>
        <v>12Go Link</v>
      </c>
      <c r="E942" s="3" t="s">
        <v>94</v>
      </c>
      <c r="K942" s="5"/>
    </row>
    <row r="943">
      <c r="A943" s="3" t="s">
        <v>740</v>
      </c>
      <c r="B943" s="3" t="s">
        <v>730</v>
      </c>
      <c r="C943" s="3" t="s">
        <v>902</v>
      </c>
      <c r="D943" s="4" t="str">
        <f>HYPERLINK("https://12go.asia/en/travel/changchun/blagoveshchensk", "12Go Link")</f>
        <v>12Go Link</v>
      </c>
      <c r="E943" s="3" t="s">
        <v>94</v>
      </c>
      <c r="K943" s="5"/>
    </row>
    <row r="944">
      <c r="A944" s="3" t="s">
        <v>903</v>
      </c>
      <c r="B944" s="3" t="s">
        <v>745</v>
      </c>
      <c r="C944" s="3" t="s">
        <v>904</v>
      </c>
      <c r="D944" s="4" t="str">
        <f>HYPERLINK("https://12go.asia/en/travel/changde/bafangshan", "12Go Link")</f>
        <v>12Go Link</v>
      </c>
      <c r="E944" s="3" t="s">
        <v>94</v>
      </c>
      <c r="K944" s="5"/>
    </row>
    <row r="945">
      <c r="A945" s="3" t="s">
        <v>903</v>
      </c>
      <c r="B945" s="3" t="s">
        <v>905</v>
      </c>
      <c r="C945" s="3" t="s">
        <v>906</v>
      </c>
      <c r="D945" s="4" t="str">
        <f>HYPERLINK("https://12go.asia/en/travel/changde/enshi", "12Go Link")</f>
        <v>12Go Link</v>
      </c>
      <c r="E945" s="3" t="s">
        <v>94</v>
      </c>
      <c r="K945" s="5"/>
    </row>
    <row r="946">
      <c r="A946" s="3" t="s">
        <v>903</v>
      </c>
      <c r="B946" s="3" t="s">
        <v>905</v>
      </c>
      <c r="C946" s="3" t="s">
        <v>907</v>
      </c>
      <c r="D946" s="4" t="str">
        <f>HYPERLINK("https://12go.asia/en/travel/changde/laifeng", "12Go Link")</f>
        <v>12Go Link</v>
      </c>
      <c r="E946" s="3" t="s">
        <v>94</v>
      </c>
      <c r="K946" s="5"/>
    </row>
    <row r="947">
      <c r="A947" s="3" t="s">
        <v>903</v>
      </c>
      <c r="B947" s="3" t="s">
        <v>632</v>
      </c>
      <c r="C947" s="3" t="s">
        <v>908</v>
      </c>
      <c r="D947" s="4" t="str">
        <f>HYPERLINK("https://12go.asia/en/travel/changde/guangzhoubaiyun", "12Go Link")</f>
        <v>12Go Link</v>
      </c>
      <c r="E947" s="3" t="s">
        <v>94</v>
      </c>
      <c r="K947" s="5"/>
    </row>
    <row r="948">
      <c r="A948" s="3" t="s">
        <v>903</v>
      </c>
      <c r="B948" s="3" t="s">
        <v>632</v>
      </c>
      <c r="C948" s="3" t="s">
        <v>909</v>
      </c>
      <c r="D948" s="4" t="str">
        <f>HYPERLINK("https://12go.asia/en/travel/changde/huaxi", "12Go Link")</f>
        <v>12Go Link</v>
      </c>
      <c r="E948" s="3" t="s">
        <v>94</v>
      </c>
      <c r="K948" s="5"/>
    </row>
    <row r="949">
      <c r="A949" s="3" t="s">
        <v>903</v>
      </c>
      <c r="B949" s="3" t="s">
        <v>536</v>
      </c>
      <c r="C949" s="3" t="s">
        <v>910</v>
      </c>
      <c r="D949" s="4" t="str">
        <f>HYPERLINK("https://12go.asia/en/travel/changde/hunan", "12Go Link")</f>
        <v>12Go Link</v>
      </c>
      <c r="E949" s="3" t="s">
        <v>94</v>
      </c>
      <c r="K949" s="5"/>
    </row>
    <row r="950">
      <c r="A950" s="3" t="s">
        <v>903</v>
      </c>
      <c r="B950" s="3" t="s">
        <v>911</v>
      </c>
      <c r="C950" s="3" t="s">
        <v>912</v>
      </c>
      <c r="D950" s="4" t="str">
        <f>HYPERLINK("https://12go.asia/en/travel/changde/kaifu", "12Go Link")</f>
        <v>12Go Link</v>
      </c>
      <c r="E950" s="3" t="s">
        <v>94</v>
      </c>
      <c r="K950" s="5"/>
    </row>
    <row r="951">
      <c r="A951" s="3" t="s">
        <v>903</v>
      </c>
      <c r="B951" s="3" t="s">
        <v>911</v>
      </c>
      <c r="C951" s="3" t="s">
        <v>913</v>
      </c>
      <c r="D951" s="4" t="str">
        <f>HYPERLINK("https://12go.asia/en/travel/changde/kaifusi", "12Go Link")</f>
        <v>12Go Link</v>
      </c>
      <c r="E951" s="3" t="s">
        <v>94</v>
      </c>
      <c r="K951" s="5"/>
    </row>
    <row r="952">
      <c r="A952" s="3" t="s">
        <v>903</v>
      </c>
      <c r="B952" s="3" t="s">
        <v>914</v>
      </c>
      <c r="C952" s="3" t="s">
        <v>915</v>
      </c>
      <c r="D952" s="4" t="str">
        <f>HYPERLINK("https://12go.asia/en/travel/changde/pujiangzhen", "12Go Link")</f>
        <v>12Go Link</v>
      </c>
      <c r="E952" s="3" t="s">
        <v>94</v>
      </c>
      <c r="K952" s="5"/>
    </row>
    <row r="953">
      <c r="A953" s="3" t="s">
        <v>903</v>
      </c>
      <c r="B953" s="3" t="s">
        <v>560</v>
      </c>
      <c r="C953" s="3" t="s">
        <v>916</v>
      </c>
      <c r="D953" s="4" t="str">
        <f>HYPERLINK("https://12go.asia/en/travel/changde/shuangliu", "12Go Link")</f>
        <v>12Go Link</v>
      </c>
      <c r="E953" s="3" t="s">
        <v>94</v>
      </c>
      <c r="K953" s="5"/>
    </row>
    <row r="954">
      <c r="A954" s="3" t="s">
        <v>903</v>
      </c>
      <c r="B954" s="3" t="s">
        <v>917</v>
      </c>
      <c r="C954" s="3" t="s">
        <v>918</v>
      </c>
      <c r="D954" s="4" t="str">
        <f>HYPERLINK("https://12go.asia/en/travel/changde/songjiang-north", "12Go Link")</f>
        <v>12Go Link</v>
      </c>
      <c r="E954" s="3" t="s">
        <v>94</v>
      </c>
      <c r="K954" s="5"/>
    </row>
    <row r="955">
      <c r="A955" s="3" t="s">
        <v>903</v>
      </c>
      <c r="B955" s="3" t="s">
        <v>917</v>
      </c>
      <c r="C955" s="3" t="s">
        <v>919</v>
      </c>
      <c r="D955" s="4" t="str">
        <f>HYPERLINK("https://12go.asia/en/travel/changde/songjiang-shanghai", "12Go Link")</f>
        <v>12Go Link</v>
      </c>
      <c r="E955" s="3" t="s">
        <v>94</v>
      </c>
      <c r="K955" s="5"/>
    </row>
    <row r="956">
      <c r="A956" s="3" t="s">
        <v>903</v>
      </c>
      <c r="B956" s="3" t="s">
        <v>564</v>
      </c>
      <c r="C956" s="3" t="s">
        <v>920</v>
      </c>
      <c r="D956" s="4" t="str">
        <f>HYPERLINK("https://12go.asia/en/travel/changde/tianxin", "12Go Link")</f>
        <v>12Go Link</v>
      </c>
      <c r="E956" s="3" t="s">
        <v>94</v>
      </c>
      <c r="K956" s="5"/>
    </row>
    <row r="957">
      <c r="A957" s="3" t="s">
        <v>903</v>
      </c>
      <c r="B957" s="3" t="s">
        <v>566</v>
      </c>
      <c r="C957" s="3" t="s">
        <v>921</v>
      </c>
      <c r="D957" s="4" t="str">
        <f>HYPERLINK("https://12go.asia/en/travel/changde/wenjiang", "12Go Link")</f>
        <v>12Go Link</v>
      </c>
      <c r="E957" s="3" t="s">
        <v>94</v>
      </c>
      <c r="K957" s="5"/>
    </row>
    <row r="958">
      <c r="A958" s="3" t="s">
        <v>903</v>
      </c>
      <c r="B958" s="3" t="s">
        <v>922</v>
      </c>
      <c r="C958" s="3" t="s">
        <v>923</v>
      </c>
      <c r="D958" s="4" t="str">
        <f>HYPERLINK("https://12go.asia/en/travel/changde/guanshaling", "12Go Link")</f>
        <v>12Go Link</v>
      </c>
      <c r="E958" s="3" t="s">
        <v>94</v>
      </c>
      <c r="K958" s="5"/>
    </row>
    <row r="959">
      <c r="A959" s="3" t="s">
        <v>903</v>
      </c>
      <c r="B959" s="3" t="s">
        <v>922</v>
      </c>
      <c r="C959" s="3" t="s">
        <v>924</v>
      </c>
      <c r="D959" s="4" t="str">
        <f>HYPERLINK("https://12go.asia/en/travel/changde/yuelu", "12Go Link")</f>
        <v>12Go Link</v>
      </c>
      <c r="E959" s="3" t="s">
        <v>94</v>
      </c>
      <c r="K959" s="5"/>
    </row>
    <row r="960">
      <c r="A960" s="3" t="s">
        <v>925</v>
      </c>
      <c r="B960" s="3" t="s">
        <v>926</v>
      </c>
      <c r="C960" s="3" t="s">
        <v>927</v>
      </c>
      <c r="D960" s="4" t="str">
        <f>HYPERLINK("https://12go.asia/en/travel/changping-beijing/gubeikou", "12Go Link")</f>
        <v>12Go Link</v>
      </c>
      <c r="E960" s="3" t="s">
        <v>94</v>
      </c>
      <c r="K960" s="5"/>
    </row>
    <row r="961">
      <c r="A961" s="3" t="s">
        <v>925</v>
      </c>
      <c r="B961" s="3" t="s">
        <v>926</v>
      </c>
      <c r="C961" s="3" t="s">
        <v>928</v>
      </c>
      <c r="D961" s="4" t="str">
        <f>HYPERLINK("https://12go.asia/en/travel/changping-north/gubeikou", "12Go Link")</f>
        <v>12Go Link</v>
      </c>
      <c r="E961" s="3" t="s">
        <v>94</v>
      </c>
      <c r="K961" s="5"/>
    </row>
    <row r="962">
      <c r="A962" s="3" t="s">
        <v>745</v>
      </c>
      <c r="B962" s="3" t="s">
        <v>929</v>
      </c>
      <c r="C962" s="3" t="s">
        <v>930</v>
      </c>
      <c r="D962" s="4" t="str">
        <f>HYPERLINK("https://12go.asia/en/travel/changsha-south/guanling", "12Go Link")</f>
        <v>12Go Link</v>
      </c>
      <c r="E962" s="3" t="s">
        <v>94</v>
      </c>
      <c r="K962" s="5"/>
    </row>
    <row r="963">
      <c r="A963" s="3" t="s">
        <v>745</v>
      </c>
      <c r="B963" s="3" t="s">
        <v>596</v>
      </c>
      <c r="C963" s="3" t="s">
        <v>931</v>
      </c>
      <c r="D963" s="4" t="str">
        <f>HYPERLINK("https://12go.asia/en/travel/changsha-south/bengbu-south", "12Go Link")</f>
        <v>12Go Link</v>
      </c>
      <c r="E963" s="3" t="s">
        <v>94</v>
      </c>
      <c r="K963" s="5"/>
    </row>
    <row r="964">
      <c r="A964" s="3" t="s">
        <v>745</v>
      </c>
      <c r="B964" s="3" t="s">
        <v>596</v>
      </c>
      <c r="C964" s="3" t="s">
        <v>932</v>
      </c>
      <c r="D964" s="4" t="str">
        <f>HYPERLINK("https://12go.asia/en/travel/changsha/bengbu", "12Go Link")</f>
        <v>12Go Link</v>
      </c>
      <c r="E964" s="3" t="s">
        <v>94</v>
      </c>
      <c r="K964" s="5"/>
    </row>
    <row r="965">
      <c r="A965" s="3" t="s">
        <v>745</v>
      </c>
      <c r="B965" s="3" t="s">
        <v>516</v>
      </c>
      <c r="C965" s="3" t="s">
        <v>933</v>
      </c>
      <c r="D965" s="4" t="str">
        <f>HYPERLINK("https://12go.asia/en/travel/changsha-south/binhai-west", "12Go Link")</f>
        <v>12Go Link</v>
      </c>
      <c r="E965" s="3" t="s">
        <v>94</v>
      </c>
      <c r="K965" s="5"/>
    </row>
    <row r="966">
      <c r="A966" s="3" t="s">
        <v>745</v>
      </c>
      <c r="B966" s="3" t="s">
        <v>516</v>
      </c>
      <c r="C966" s="3" t="s">
        <v>934</v>
      </c>
      <c r="D966" s="4" t="str">
        <f>HYPERLINK("https://12go.asia/en/travel/changsha/binhai", "12Go Link")</f>
        <v>12Go Link</v>
      </c>
      <c r="E966" s="3" t="s">
        <v>94</v>
      </c>
      <c r="K966" s="5"/>
    </row>
    <row r="967">
      <c r="A967" s="3" t="s">
        <v>745</v>
      </c>
      <c r="B967" s="3" t="s">
        <v>600</v>
      </c>
      <c r="C967" s="3" t="s">
        <v>935</v>
      </c>
      <c r="D967" s="4" t="str">
        <f>HYPERLINK("https://12go.asia/en/travel/changsha/boluo", "12Go Link")</f>
        <v>12Go Link</v>
      </c>
      <c r="E967" s="3" t="s">
        <v>94</v>
      </c>
      <c r="K967" s="5"/>
    </row>
    <row r="968">
      <c r="A968" s="3" t="s">
        <v>745</v>
      </c>
      <c r="B968" s="3" t="s">
        <v>609</v>
      </c>
      <c r="C968" s="3" t="s">
        <v>936</v>
      </c>
      <c r="D968" s="4" t="str">
        <f>HYPERLINK("https://12go.asia/en/travel/changsha/dongcheng-south", "12Go Link")</f>
        <v>12Go Link</v>
      </c>
      <c r="E968" s="3" t="s">
        <v>94</v>
      </c>
      <c r="K968" s="5"/>
    </row>
    <row r="969">
      <c r="A969" s="3" t="s">
        <v>745</v>
      </c>
      <c r="B969" s="3" t="s">
        <v>937</v>
      </c>
      <c r="C969" s="3" t="s">
        <v>938</v>
      </c>
      <c r="D969" s="4" t="str">
        <f>HYPERLINK("https://12go.asia/en/travel/changsha/duanzhou", "12Go Link")</f>
        <v>12Go Link</v>
      </c>
      <c r="E969" s="3" t="s">
        <v>94</v>
      </c>
      <c r="K969" s="5"/>
    </row>
    <row r="970">
      <c r="A970" s="3" t="s">
        <v>745</v>
      </c>
      <c r="B970" s="3" t="s">
        <v>524</v>
      </c>
      <c r="C970" s="3" t="s">
        <v>939</v>
      </c>
      <c r="D970" s="4" t="str">
        <f>HYPERLINK("https://12go.asia/en/travel/changsha/guzhang", "12Go Link")</f>
        <v>12Go Link</v>
      </c>
      <c r="E970" s="3" t="s">
        <v>94</v>
      </c>
      <c r="K970" s="5"/>
    </row>
    <row r="971">
      <c r="A971" s="3" t="s">
        <v>745</v>
      </c>
      <c r="B971" s="3" t="s">
        <v>751</v>
      </c>
      <c r="C971" s="3" t="s">
        <v>940</v>
      </c>
      <c r="D971" s="4" t="str">
        <f>HYPERLINK("https://12go.asia/en/travel/changsha-south/handan-east", "12Go Link")</f>
        <v>12Go Link</v>
      </c>
      <c r="E971" s="3" t="s">
        <v>94</v>
      </c>
      <c r="K971" s="5"/>
    </row>
    <row r="972">
      <c r="A972" s="3" t="s">
        <v>745</v>
      </c>
      <c r="B972" s="3" t="s">
        <v>751</v>
      </c>
      <c r="C972" s="3" t="s">
        <v>941</v>
      </c>
      <c r="D972" s="4" t="str">
        <f>HYPERLINK("https://12go.asia/en/travel/changsha/handan", "12Go Link")</f>
        <v>12Go Link</v>
      </c>
      <c r="E972" s="3" t="s">
        <v>94</v>
      </c>
      <c r="K972" s="5"/>
    </row>
    <row r="973">
      <c r="A973" s="3" t="s">
        <v>745</v>
      </c>
      <c r="B973" s="3" t="s">
        <v>942</v>
      </c>
      <c r="C973" s="3" t="s">
        <v>943</v>
      </c>
      <c r="D973" s="4" t="str">
        <f>HYPERLINK("https://12go.asia/en/travel/changsha-south/furongzhen", "12Go Link")</f>
        <v>12Go Link</v>
      </c>
      <c r="E973" s="3" t="s">
        <v>94</v>
      </c>
      <c r="K973" s="5"/>
    </row>
    <row r="974">
      <c r="A974" s="3" t="s">
        <v>745</v>
      </c>
      <c r="B974" s="3" t="s">
        <v>942</v>
      </c>
      <c r="C974" s="3" t="s">
        <v>944</v>
      </c>
      <c r="D974" s="4" t="str">
        <f>HYPERLINK("https://12go.asia/en/travel/changsha/furongzhen", "12Go Link")</f>
        <v>12Go Link</v>
      </c>
      <c r="E974" s="3" t="s">
        <v>94</v>
      </c>
      <c r="K974" s="5"/>
    </row>
    <row r="975">
      <c r="A975" s="3" t="s">
        <v>745</v>
      </c>
      <c r="B975" s="3" t="s">
        <v>942</v>
      </c>
      <c r="C975" s="3" t="s">
        <v>945</v>
      </c>
      <c r="D975" s="4" t="str">
        <f>HYPERLINK("https://12go.asia/en/travel/changsha/hedong", "12Go Link")</f>
        <v>12Go Link</v>
      </c>
      <c r="E975" s="3" t="s">
        <v>94</v>
      </c>
      <c r="K975" s="5"/>
    </row>
    <row r="976">
      <c r="A976" s="3" t="s">
        <v>745</v>
      </c>
      <c r="B976" s="3" t="s">
        <v>620</v>
      </c>
      <c r="C976" s="3" t="s">
        <v>946</v>
      </c>
      <c r="D976" s="4" t="str">
        <f>HYPERLINK("https://12go.asia/en/travel/changsha/hengqin-island", "12Go Link")</f>
        <v>12Go Link</v>
      </c>
      <c r="E976" s="3" t="s">
        <v>94</v>
      </c>
      <c r="K976" s="5"/>
    </row>
    <row r="977">
      <c r="A977" s="3" t="s">
        <v>745</v>
      </c>
      <c r="B977" s="3" t="s">
        <v>624</v>
      </c>
      <c r="C977" s="3" t="s">
        <v>947</v>
      </c>
      <c r="D977" s="4" t="str">
        <f>HYPERLINK("https://12go.asia/en/travel/changsha/hong-kong-island", "12Go Link")</f>
        <v>12Go Link</v>
      </c>
      <c r="E977" s="3" t="s">
        <v>94</v>
      </c>
      <c r="K977" s="5"/>
    </row>
    <row r="978">
      <c r="A978" s="3" t="s">
        <v>745</v>
      </c>
      <c r="B978" s="3" t="s">
        <v>948</v>
      </c>
      <c r="C978" s="3" t="s">
        <v>949</v>
      </c>
      <c r="D978" s="4" t="str">
        <f>HYPERLINK("https://12go.asia/en/travel/changsha-south/huashan-north", "12Go Link")</f>
        <v>12Go Link</v>
      </c>
      <c r="E978" s="3" t="s">
        <v>94</v>
      </c>
      <c r="K978" s="5"/>
    </row>
    <row r="979">
      <c r="A979" s="3" t="s">
        <v>745</v>
      </c>
      <c r="B979" s="3" t="s">
        <v>948</v>
      </c>
      <c r="C979" s="3" t="s">
        <v>950</v>
      </c>
      <c r="D979" s="4" t="str">
        <f>HYPERLINK("https://12go.asia/en/travel/changsha/huashan", "12Go Link")</f>
        <v>12Go Link</v>
      </c>
      <c r="E979" s="3" t="s">
        <v>94</v>
      </c>
      <c r="K979" s="5"/>
    </row>
    <row r="980">
      <c r="A980" s="3" t="s">
        <v>745</v>
      </c>
      <c r="B980" s="3" t="s">
        <v>632</v>
      </c>
      <c r="C980" s="3" t="s">
        <v>951</v>
      </c>
      <c r="D980" s="4" t="str">
        <f>HYPERLINK("https://12go.asia/en/travel/changsha-south/guangzhoubaiyun", "12Go Link")</f>
        <v>12Go Link</v>
      </c>
      <c r="E980" s="3" t="s">
        <v>94</v>
      </c>
      <c r="K980" s="5"/>
    </row>
    <row r="981">
      <c r="A981" s="3" t="s">
        <v>745</v>
      </c>
      <c r="B981" s="3" t="s">
        <v>632</v>
      </c>
      <c r="C981" s="3" t="s">
        <v>952</v>
      </c>
      <c r="D981" s="4" t="str">
        <f>HYPERLINK("https://12go.asia/en/travel/changsha/guangzhoubaiyun", "12Go Link")</f>
        <v>12Go Link</v>
      </c>
      <c r="E981" s="3" t="s">
        <v>94</v>
      </c>
      <c r="K981" s="5"/>
    </row>
    <row r="982">
      <c r="A982" s="3" t="s">
        <v>745</v>
      </c>
      <c r="B982" s="3" t="s">
        <v>632</v>
      </c>
      <c r="C982" s="3" t="s">
        <v>953</v>
      </c>
      <c r="D982" s="4" t="str">
        <f>HYPERLINK("https://12go.asia/en/travel/changsha/huaxi", "12Go Link")</f>
        <v>12Go Link</v>
      </c>
      <c r="E982" s="3" t="s">
        <v>94</v>
      </c>
      <c r="K982" s="5"/>
    </row>
    <row r="983">
      <c r="A983" s="3" t="s">
        <v>745</v>
      </c>
      <c r="B983" s="3" t="s">
        <v>954</v>
      </c>
      <c r="C983" s="3" t="s">
        <v>955</v>
      </c>
      <c r="D983" s="4" t="str">
        <f>HYPERLINK("https://12go.asia/en/travel/changsha-south/huidong-south", "12Go Link")</f>
        <v>12Go Link</v>
      </c>
      <c r="E983" s="3" t="s">
        <v>94</v>
      </c>
      <c r="K983" s="5"/>
    </row>
    <row r="984">
      <c r="A984" s="3" t="s">
        <v>745</v>
      </c>
      <c r="B984" s="3" t="s">
        <v>954</v>
      </c>
      <c r="C984" s="3" t="s">
        <v>956</v>
      </c>
      <c r="D984" s="4" t="str">
        <f>HYPERLINK("https://12go.asia/en/travel/changsha/huidong", "12Go Link")</f>
        <v>12Go Link</v>
      </c>
      <c r="E984" s="3" t="s">
        <v>94</v>
      </c>
      <c r="K984" s="5"/>
    </row>
    <row r="985">
      <c r="A985" s="3" t="s">
        <v>745</v>
      </c>
      <c r="B985" s="3" t="s">
        <v>957</v>
      </c>
      <c r="C985" s="3" t="s">
        <v>958</v>
      </c>
      <c r="D985" s="4" t="str">
        <f>HYPERLINK("https://12go.asia/en/travel/changsha-south/huiyang", "12Go Link")</f>
        <v>12Go Link</v>
      </c>
      <c r="E985" s="3" t="s">
        <v>94</v>
      </c>
      <c r="K985" s="5"/>
    </row>
    <row r="986">
      <c r="A986" s="3" t="s">
        <v>745</v>
      </c>
      <c r="B986" s="3" t="s">
        <v>957</v>
      </c>
      <c r="C986" s="3" t="s">
        <v>959</v>
      </c>
      <c r="D986" s="4" t="str">
        <f>HYPERLINK("https://12go.asia/en/travel/changsha/huiyang-district", "12Go Link")</f>
        <v>12Go Link</v>
      </c>
      <c r="E986" s="3" t="s">
        <v>94</v>
      </c>
      <c r="K986" s="5"/>
    </row>
    <row r="987">
      <c r="A987" s="3" t="s">
        <v>745</v>
      </c>
      <c r="B987" s="3" t="s">
        <v>636</v>
      </c>
      <c r="C987" s="3" t="s">
        <v>960</v>
      </c>
      <c r="D987" s="4" t="str">
        <f>HYPERLINK("https://12go.asia/en/travel/changsha-south/humen", "12Go Link")</f>
        <v>12Go Link</v>
      </c>
      <c r="E987" s="3" t="s">
        <v>94</v>
      </c>
      <c r="K987" s="5"/>
    </row>
    <row r="988">
      <c r="A988" s="3" t="s">
        <v>745</v>
      </c>
      <c r="B988" s="3" t="s">
        <v>636</v>
      </c>
      <c r="C988" s="3" t="s">
        <v>961</v>
      </c>
      <c r="D988" s="4" t="str">
        <f>HYPERLINK("https://12go.asia/en/travel/changsha/humen-town", "12Go Link")</f>
        <v>12Go Link</v>
      </c>
      <c r="E988" s="3" t="s">
        <v>94</v>
      </c>
      <c r="K988" s="5"/>
    </row>
    <row r="989">
      <c r="A989" s="3" t="s">
        <v>745</v>
      </c>
      <c r="B989" s="3" t="s">
        <v>639</v>
      </c>
      <c r="C989" s="3" t="s">
        <v>962</v>
      </c>
      <c r="D989" s="4" t="str">
        <f>HYPERLINK("https://12go.asia/en/travel/changsha/jiangbei", "12Go Link")</f>
        <v>12Go Link</v>
      </c>
      <c r="E989" s="3" t="s">
        <v>94</v>
      </c>
      <c r="K989" s="5"/>
    </row>
    <row r="990">
      <c r="A990" s="3" t="s">
        <v>745</v>
      </c>
      <c r="B990" s="3" t="s">
        <v>641</v>
      </c>
      <c r="C990" s="3" t="s">
        <v>963</v>
      </c>
      <c r="D990" s="4" t="str">
        <f>HYPERLINK("https://12go.asia/en/travel/changsha/jiangjin", "12Go Link")</f>
        <v>12Go Link</v>
      </c>
      <c r="E990" s="3" t="s">
        <v>94</v>
      </c>
      <c r="K990" s="5"/>
    </row>
    <row r="991">
      <c r="A991" s="3" t="s">
        <v>745</v>
      </c>
      <c r="B991" s="3" t="s">
        <v>643</v>
      </c>
      <c r="C991" s="3" t="s">
        <v>964</v>
      </c>
      <c r="D991" s="4" t="str">
        <f>HYPERLINK("https://12go.asia/en/travel/changsha/jiangning", "12Go Link")</f>
        <v>12Go Link</v>
      </c>
      <c r="E991" s="3" t="s">
        <v>94</v>
      </c>
      <c r="K991" s="5"/>
    </row>
    <row r="992">
      <c r="A992" s="3" t="s">
        <v>745</v>
      </c>
      <c r="B992" s="3" t="s">
        <v>645</v>
      </c>
      <c r="C992" s="3" t="s">
        <v>965</v>
      </c>
      <c r="D992" s="4" t="str">
        <f>HYPERLINK("https://12go.asia/en/travel/changsha/jiangxia", "12Go Link")</f>
        <v>12Go Link</v>
      </c>
      <c r="E992" s="3" t="s">
        <v>94</v>
      </c>
      <c r="K992" s="5"/>
    </row>
    <row r="993">
      <c r="A993" s="3" t="s">
        <v>745</v>
      </c>
      <c r="B993" s="3" t="s">
        <v>647</v>
      </c>
      <c r="C993" s="3" t="s">
        <v>966</v>
      </c>
      <c r="D993" s="4" t="str">
        <f>HYPERLINK("https://12go.asia/en/travel/changsha/jiangyuan", "12Go Link")</f>
        <v>12Go Link</v>
      </c>
      <c r="E993" s="3" t="s">
        <v>94</v>
      </c>
      <c r="K993" s="5"/>
    </row>
    <row r="994">
      <c r="A994" s="3" t="s">
        <v>745</v>
      </c>
      <c r="B994" s="3" t="s">
        <v>540</v>
      </c>
      <c r="C994" s="3" t="s">
        <v>967</v>
      </c>
      <c r="D994" s="4" t="str">
        <f>HYPERLINK("https://12go.asia/en/travel/changsha/jiangzhou", "12Go Link")</f>
        <v>12Go Link</v>
      </c>
      <c r="E994" s="3" t="s">
        <v>94</v>
      </c>
      <c r="K994" s="5"/>
    </row>
    <row r="995">
      <c r="A995" s="3" t="s">
        <v>745</v>
      </c>
      <c r="B995" s="3" t="s">
        <v>542</v>
      </c>
      <c r="C995" s="3" t="s">
        <v>968</v>
      </c>
      <c r="D995" s="4" t="str">
        <f>HYPERLINK("https://12go.asia/en/travel/changsha/jiaocheng", "12Go Link")</f>
        <v>12Go Link</v>
      </c>
      <c r="E995" s="3" t="s">
        <v>94</v>
      </c>
      <c r="K995" s="5"/>
    </row>
    <row r="996">
      <c r="A996" s="3" t="s">
        <v>745</v>
      </c>
      <c r="B996" s="3" t="s">
        <v>655</v>
      </c>
      <c r="C996" s="3" t="s">
        <v>969</v>
      </c>
      <c r="D996" s="4" t="str">
        <f>HYPERLINK("https://12go.asia/en/travel/changsha/jiaxiang", "12Go Link")</f>
        <v>12Go Link</v>
      </c>
      <c r="E996" s="3" t="s">
        <v>94</v>
      </c>
      <c r="K996" s="5"/>
    </row>
    <row r="997">
      <c r="A997" s="3" t="s">
        <v>745</v>
      </c>
      <c r="B997" s="3" t="s">
        <v>660</v>
      </c>
      <c r="C997" s="3" t="s">
        <v>970</v>
      </c>
      <c r="D997" s="4" t="str">
        <f>HYPERLINK("https://12go.asia/en/travel/changsha-south/quanzhounan", "12Go Link")</f>
        <v>12Go Link</v>
      </c>
      <c r="E997" s="3" t="s">
        <v>94</v>
      </c>
      <c r="K997" s="5"/>
    </row>
    <row r="998">
      <c r="A998" s="3" t="s">
        <v>745</v>
      </c>
      <c r="B998" s="3" t="s">
        <v>660</v>
      </c>
      <c r="C998" s="3" t="s">
        <v>971</v>
      </c>
      <c r="D998" s="4" t="str">
        <f>HYPERLINK("https://12go.asia/en/travel/changsha/jinjiang", "12Go Link")</f>
        <v>12Go Link</v>
      </c>
      <c r="E998" s="3" t="s">
        <v>94</v>
      </c>
      <c r="K998" s="5"/>
    </row>
    <row r="999">
      <c r="A999" s="3" t="s">
        <v>745</v>
      </c>
      <c r="B999" s="3" t="s">
        <v>911</v>
      </c>
      <c r="C999" s="3" t="s">
        <v>972</v>
      </c>
      <c r="D999" s="4" t="str">
        <f>HYPERLINK("https://12go.asia/en/travel/changsha-south/kaifusi", "12Go Link")</f>
        <v>12Go Link</v>
      </c>
      <c r="E999" s="3" t="s">
        <v>94</v>
      </c>
      <c r="K999" s="5"/>
    </row>
    <row r="1000">
      <c r="A1000" s="3" t="s">
        <v>745</v>
      </c>
      <c r="B1000" s="3" t="s">
        <v>911</v>
      </c>
      <c r="C1000" s="3" t="s">
        <v>973</v>
      </c>
      <c r="D1000" s="4" t="str">
        <f>HYPERLINK("https://12go.asia/en/travel/changsha/kaifu", "12Go Link")</f>
        <v>12Go Link</v>
      </c>
      <c r="E1000" s="3" t="s">
        <v>94</v>
      </c>
      <c r="K1000" s="5"/>
    </row>
    <row r="1001">
      <c r="A1001" s="3" t="s">
        <v>745</v>
      </c>
      <c r="B1001" s="3" t="s">
        <v>911</v>
      </c>
      <c r="C1001" s="3" t="s">
        <v>974</v>
      </c>
      <c r="D1001" s="4" t="str">
        <f>HYPERLINK("https://12go.asia/en/travel/changsha/kaifusi", "12Go Link")</f>
        <v>12Go Link</v>
      </c>
      <c r="E1001" s="3" t="s">
        <v>94</v>
      </c>
      <c r="K1001" s="5"/>
    </row>
    <row r="1002">
      <c r="A1002" s="3" t="s">
        <v>745</v>
      </c>
      <c r="B1002" s="3" t="s">
        <v>975</v>
      </c>
      <c r="C1002" s="3" t="s">
        <v>976</v>
      </c>
      <c r="D1002" s="4" t="str">
        <f>HYPERLINK("https://12go.asia/en/travel/changsha-south/leshan", "12Go Link")</f>
        <v>12Go Link</v>
      </c>
      <c r="E1002" s="3" t="s">
        <v>94</v>
      </c>
      <c r="K1002" s="5"/>
    </row>
    <row r="1003">
      <c r="A1003" s="3" t="s">
        <v>745</v>
      </c>
      <c r="B1003" s="3" t="s">
        <v>975</v>
      </c>
      <c r="C1003" s="3" t="s">
        <v>977</v>
      </c>
      <c r="D1003" s="4" t="str">
        <f>HYPERLINK("https://12go.asia/en/travel/changsha/leshan", "12Go Link")</f>
        <v>12Go Link</v>
      </c>
      <c r="E1003" s="3" t="s">
        <v>94</v>
      </c>
      <c r="K1003" s="5"/>
    </row>
    <row r="1004">
      <c r="A1004" s="3" t="s">
        <v>745</v>
      </c>
      <c r="B1004" s="3" t="s">
        <v>978</v>
      </c>
      <c r="C1004" s="3" t="s">
        <v>979</v>
      </c>
      <c r="D1004" s="4" t="str">
        <f>HYPERLINK("https://12go.asia/en/travel/changsha-south/liupanshui", "12Go Link")</f>
        <v>12Go Link</v>
      </c>
      <c r="E1004" s="3" t="s">
        <v>94</v>
      </c>
      <c r="K1004" s="5"/>
    </row>
    <row r="1005">
      <c r="A1005" s="3" t="s">
        <v>745</v>
      </c>
      <c r="B1005" s="3" t="s">
        <v>978</v>
      </c>
      <c r="C1005" s="3" t="s">
        <v>980</v>
      </c>
      <c r="D1005" s="4" t="str">
        <f>HYPERLINK("https://12go.asia/en/travel/changsha-south/liupanshuidong", "12Go Link")</f>
        <v>12Go Link</v>
      </c>
      <c r="E1005" s="3" t="s">
        <v>94</v>
      </c>
      <c r="K1005" s="5"/>
    </row>
    <row r="1006">
      <c r="A1006" s="3" t="s">
        <v>745</v>
      </c>
      <c r="B1006" s="3" t="s">
        <v>978</v>
      </c>
      <c r="C1006" s="3" t="s">
        <v>981</v>
      </c>
      <c r="D1006" s="4" t="str">
        <f>HYPERLINK("https://12go.asia/en/travel/changsha/liupanshui", "12Go Link")</f>
        <v>12Go Link</v>
      </c>
      <c r="E1006" s="3" t="s">
        <v>94</v>
      </c>
      <c r="K1006" s="5"/>
    </row>
    <row r="1007">
      <c r="A1007" s="3" t="s">
        <v>745</v>
      </c>
      <c r="B1007" s="3" t="s">
        <v>679</v>
      </c>
      <c r="C1007" s="3" t="s">
        <v>982</v>
      </c>
      <c r="D1007" s="4" t="str">
        <f>HYPERLINK("https://12go.asia/en/travel/changsha/mingxi", "12Go Link")</f>
        <v>12Go Link</v>
      </c>
      <c r="E1007" s="3" t="s">
        <v>94</v>
      </c>
      <c r="K1007" s="5"/>
    </row>
    <row r="1008">
      <c r="A1008" s="3" t="s">
        <v>745</v>
      </c>
      <c r="B1008" s="3" t="s">
        <v>983</v>
      </c>
      <c r="C1008" s="3" t="s">
        <v>984</v>
      </c>
      <c r="D1008" s="4" t="str">
        <f>HYPERLINK("https://12go.asia/en/travel/changsha/ordos", "12Go Link")</f>
        <v>12Go Link</v>
      </c>
      <c r="E1008" s="3" t="s">
        <v>94</v>
      </c>
      <c r="K1008" s="5"/>
    </row>
    <row r="1009">
      <c r="A1009" s="3" t="s">
        <v>745</v>
      </c>
      <c r="B1009" s="3" t="s">
        <v>983</v>
      </c>
      <c r="C1009" s="3" t="s">
        <v>985</v>
      </c>
      <c r="D1009" s="4" t="str">
        <f>HYPERLINK("https://12go.asia/en/travel/changsha/ordos-city", "12Go Link")</f>
        <v>12Go Link</v>
      </c>
      <c r="E1009" s="3" t="s">
        <v>94</v>
      </c>
      <c r="K1009" s="5"/>
    </row>
    <row r="1010">
      <c r="A1010" s="3" t="s">
        <v>745</v>
      </c>
      <c r="B1010" s="3" t="s">
        <v>986</v>
      </c>
      <c r="C1010" s="3" t="s">
        <v>987</v>
      </c>
      <c r="D1010" s="4" t="str">
        <f>HYPERLINK("https://12go.asia/en/travel/changsha/pingyao", "12Go Link")</f>
        <v>12Go Link</v>
      </c>
      <c r="E1010" s="3" t="s">
        <v>94</v>
      </c>
      <c r="K1010" s="5"/>
    </row>
    <row r="1011">
      <c r="A1011" s="3" t="s">
        <v>745</v>
      </c>
      <c r="B1011" s="3" t="s">
        <v>914</v>
      </c>
      <c r="C1011" s="3" t="s">
        <v>988</v>
      </c>
      <c r="D1011" s="4" t="str">
        <f>HYPERLINK("https://12go.asia/en/travel/changsha/pujiangzhen", "12Go Link")</f>
        <v>12Go Link</v>
      </c>
      <c r="E1011" s="3" t="s">
        <v>94</v>
      </c>
      <c r="K1011" s="5"/>
    </row>
    <row r="1012">
      <c r="A1012" s="3" t="s">
        <v>745</v>
      </c>
      <c r="B1012" s="3" t="s">
        <v>548</v>
      </c>
      <c r="C1012" s="3" t="s">
        <v>989</v>
      </c>
      <c r="D1012" s="4" t="str">
        <f>HYPERLINK("https://12go.asia/en/travel/changsha/qinghai", "12Go Link")</f>
        <v>12Go Link</v>
      </c>
      <c r="E1012" s="3" t="s">
        <v>94</v>
      </c>
      <c r="K1012" s="5"/>
    </row>
    <row r="1013">
      <c r="A1013" s="3" t="s">
        <v>745</v>
      </c>
      <c r="B1013" s="3" t="s">
        <v>550</v>
      </c>
      <c r="C1013" s="3" t="s">
        <v>990</v>
      </c>
      <c r="D1013" s="4" t="str">
        <f>HYPERLINK("https://12go.asia/en/travel/changsha/saihan", "12Go Link")</f>
        <v>12Go Link</v>
      </c>
      <c r="E1013" s="3" t="s">
        <v>94</v>
      </c>
      <c r="K1013" s="5"/>
    </row>
    <row r="1014">
      <c r="A1014" s="3" t="s">
        <v>745</v>
      </c>
      <c r="B1014" s="3" t="s">
        <v>560</v>
      </c>
      <c r="C1014" s="3" t="s">
        <v>991</v>
      </c>
      <c r="D1014" s="4" t="str">
        <f>HYPERLINK("https://12go.asia/en/travel/changsha/shuangliu", "12Go Link")</f>
        <v>12Go Link</v>
      </c>
      <c r="E1014" s="3" t="s">
        <v>94</v>
      </c>
      <c r="K1014" s="5"/>
    </row>
    <row r="1015">
      <c r="A1015" s="3" t="s">
        <v>745</v>
      </c>
      <c r="B1015" s="3" t="s">
        <v>698</v>
      </c>
      <c r="C1015" s="3" t="s">
        <v>992</v>
      </c>
      <c r="D1015" s="4" t="str">
        <f>HYPERLINK("https://12go.asia/en/travel/changsha/sihui", "12Go Link")</f>
        <v>12Go Link</v>
      </c>
      <c r="E1015" s="3" t="s">
        <v>94</v>
      </c>
      <c r="K1015" s="5"/>
    </row>
    <row r="1016">
      <c r="A1016" s="3" t="s">
        <v>745</v>
      </c>
      <c r="B1016" s="3" t="s">
        <v>917</v>
      </c>
      <c r="C1016" s="3" t="s">
        <v>993</v>
      </c>
      <c r="D1016" s="4" t="str">
        <f>HYPERLINK("https://12go.asia/en/travel/changsha-south/shanghai-songjiang", "12Go Link")</f>
        <v>12Go Link</v>
      </c>
      <c r="E1016" s="3" t="s">
        <v>94</v>
      </c>
      <c r="K1016" s="5"/>
    </row>
    <row r="1017">
      <c r="A1017" s="3" t="s">
        <v>745</v>
      </c>
      <c r="B1017" s="3" t="s">
        <v>917</v>
      </c>
      <c r="C1017" s="3" t="s">
        <v>994</v>
      </c>
      <c r="D1017" s="4" t="str">
        <f>HYPERLINK("https://12go.asia/en/travel/changsha/songjiang-north", "12Go Link")</f>
        <v>12Go Link</v>
      </c>
      <c r="E1017" s="3" t="s">
        <v>94</v>
      </c>
      <c r="K1017" s="5"/>
    </row>
    <row r="1018">
      <c r="A1018" s="3" t="s">
        <v>745</v>
      </c>
      <c r="B1018" s="3" t="s">
        <v>917</v>
      </c>
      <c r="C1018" s="3" t="s">
        <v>995</v>
      </c>
      <c r="D1018" s="4" t="str">
        <f>HYPERLINK("https://12go.asia/en/travel/changsha/songjiang-shanghai", "12Go Link")</f>
        <v>12Go Link</v>
      </c>
      <c r="E1018" s="3" t="s">
        <v>94</v>
      </c>
      <c r="K1018" s="5"/>
    </row>
    <row r="1019">
      <c r="A1019" s="3" t="s">
        <v>745</v>
      </c>
      <c r="B1019" s="3" t="s">
        <v>883</v>
      </c>
      <c r="C1019" s="3" t="s">
        <v>996</v>
      </c>
      <c r="D1019" s="4" t="str">
        <f>HYPERLINK("https://12go.asia/en/travel/changsha/taian", "12Go Link")</f>
        <v>12Go Link</v>
      </c>
      <c r="E1019" s="3" t="s">
        <v>94</v>
      </c>
      <c r="K1019" s="5"/>
    </row>
    <row r="1020">
      <c r="A1020" s="3" t="s">
        <v>745</v>
      </c>
      <c r="B1020" s="3" t="s">
        <v>997</v>
      </c>
      <c r="C1020" s="3" t="s">
        <v>998</v>
      </c>
      <c r="D1020" s="4" t="str">
        <f>HYPERLINK("https://12go.asia/en/travel/changsha-south/taian-shandong", "12Go Link")</f>
        <v>12Go Link</v>
      </c>
      <c r="E1020" s="3" t="s">
        <v>94</v>
      </c>
      <c r="K1020" s="5"/>
    </row>
    <row r="1021">
      <c r="A1021" s="3" t="s">
        <v>745</v>
      </c>
      <c r="B1021" s="3" t="s">
        <v>997</v>
      </c>
      <c r="C1021" s="3" t="s">
        <v>999</v>
      </c>
      <c r="D1021" s="4" t="str">
        <f>HYPERLINK("https://12go.asia/en/travel/changsha/taian-shandong", "12Go Link")</f>
        <v>12Go Link</v>
      </c>
      <c r="E1021" s="3" t="s">
        <v>94</v>
      </c>
      <c r="K1021" s="5"/>
    </row>
    <row r="1022">
      <c r="A1022" s="3" t="s">
        <v>745</v>
      </c>
      <c r="B1022" s="3" t="s">
        <v>997</v>
      </c>
      <c r="C1022" s="3" t="s">
        <v>1000</v>
      </c>
      <c r="D1022" s="4" t="str">
        <f>HYPERLINK("https://12go.asia/en/travel/changsha/taishan-shandong", "12Go Link")</f>
        <v>12Go Link</v>
      </c>
      <c r="E1022" s="3" t="s">
        <v>94</v>
      </c>
      <c r="K1022" s="5"/>
    </row>
    <row r="1023">
      <c r="A1023" s="3" t="s">
        <v>745</v>
      </c>
      <c r="B1023" s="3" t="s">
        <v>564</v>
      </c>
      <c r="C1023" s="3" t="s">
        <v>1001</v>
      </c>
      <c r="D1023" s="4" t="str">
        <f>HYPERLINK("https://12go.asia/en/travel/changsha/dongjing", "12Go Link")</f>
        <v>12Go Link</v>
      </c>
      <c r="E1023" s="3" t="s">
        <v>94</v>
      </c>
      <c r="K1023" s="5"/>
    </row>
    <row r="1024">
      <c r="A1024" s="3" t="s">
        <v>745</v>
      </c>
      <c r="B1024" s="3" t="s">
        <v>564</v>
      </c>
      <c r="C1024" s="3" t="s">
        <v>1002</v>
      </c>
      <c r="D1024" s="4" t="str">
        <f>HYPERLINK("https://12go.asia/en/travel/changsha/muyun", "12Go Link")</f>
        <v>12Go Link</v>
      </c>
      <c r="E1024" s="3" t="s">
        <v>94</v>
      </c>
      <c r="K1024" s="5"/>
    </row>
    <row r="1025">
      <c r="A1025" s="3" t="s">
        <v>745</v>
      </c>
      <c r="B1025" s="3" t="s">
        <v>564</v>
      </c>
      <c r="C1025" s="3" t="s">
        <v>1003</v>
      </c>
      <c r="D1025" s="4" t="str">
        <f>HYPERLINK("https://12go.asia/en/travel/changsha/tianxin", "12Go Link")</f>
        <v>12Go Link</v>
      </c>
      <c r="E1025" s="3" t="s">
        <v>94</v>
      </c>
      <c r="K1025" s="5"/>
    </row>
    <row r="1026">
      <c r="A1026" s="3" t="s">
        <v>745</v>
      </c>
      <c r="B1026" s="3" t="s">
        <v>564</v>
      </c>
      <c r="C1026" s="3" t="s">
        <v>1004</v>
      </c>
      <c r="D1026" s="4" t="str">
        <f>HYPERLINK("https://12go.asia/en/travel/changsha/tianxin-east", "12Go Link")</f>
        <v>12Go Link</v>
      </c>
      <c r="E1026" s="3" t="s">
        <v>94</v>
      </c>
      <c r="K1026" s="5"/>
    </row>
    <row r="1027">
      <c r="A1027" s="3" t="s">
        <v>745</v>
      </c>
      <c r="B1027" s="3" t="s">
        <v>566</v>
      </c>
      <c r="C1027" s="3" t="s">
        <v>1005</v>
      </c>
      <c r="D1027" s="4" t="str">
        <f>HYPERLINK("https://12go.asia/en/travel/changsha/wenjiang", "12Go Link")</f>
        <v>12Go Link</v>
      </c>
      <c r="E1027" s="3" t="s">
        <v>94</v>
      </c>
      <c r="K1027" s="5"/>
    </row>
    <row r="1028">
      <c r="A1028" s="3" t="s">
        <v>745</v>
      </c>
      <c r="B1028" s="3" t="s">
        <v>1006</v>
      </c>
      <c r="C1028" s="3" t="s">
        <v>1007</v>
      </c>
      <c r="D1028" s="4" t="str">
        <f>HYPERLINK("https://12go.asia/en/travel/changsha-south/xiangtan-north", "12Go Link")</f>
        <v>12Go Link</v>
      </c>
      <c r="E1028" s="3" t="s">
        <v>94</v>
      </c>
      <c r="K1028" s="5"/>
    </row>
    <row r="1029">
      <c r="A1029" s="3" t="s">
        <v>745</v>
      </c>
      <c r="B1029" s="3" t="s">
        <v>1006</v>
      </c>
      <c r="C1029" s="3" t="s">
        <v>1008</v>
      </c>
      <c r="D1029" s="4" t="str">
        <f>HYPERLINK("https://12go.asia/en/travel/changsha/bantang", "12Go Link")</f>
        <v>12Go Link</v>
      </c>
      <c r="E1029" s="3" t="s">
        <v>94</v>
      </c>
      <c r="K1029" s="5"/>
    </row>
    <row r="1030">
      <c r="A1030" s="3" t="s">
        <v>745</v>
      </c>
      <c r="B1030" s="3" t="s">
        <v>1006</v>
      </c>
      <c r="C1030" s="3" t="s">
        <v>1009</v>
      </c>
      <c r="D1030" s="4" t="str">
        <f>HYPERLINK("https://12go.asia/en/travel/changsha/xiangtan", "12Go Link")</f>
        <v>12Go Link</v>
      </c>
      <c r="E1030" s="3" t="s">
        <v>94</v>
      </c>
      <c r="K1030" s="5"/>
    </row>
    <row r="1031">
      <c r="A1031" s="3" t="s">
        <v>745</v>
      </c>
      <c r="B1031" s="3" t="s">
        <v>1006</v>
      </c>
      <c r="C1031" s="3" t="s">
        <v>1010</v>
      </c>
      <c r="D1031" s="4" t="str">
        <f>HYPERLINK("https://12go.asia/en/travel/changsha/xiangtan-north", "12Go Link")</f>
        <v>12Go Link</v>
      </c>
      <c r="E1031" s="3" t="s">
        <v>94</v>
      </c>
      <c r="K1031" s="5"/>
    </row>
    <row r="1032">
      <c r="A1032" s="3" t="s">
        <v>745</v>
      </c>
      <c r="B1032" s="3" t="s">
        <v>568</v>
      </c>
      <c r="C1032" s="3" t="s">
        <v>1011</v>
      </c>
      <c r="D1032" s="4" t="str">
        <f>HYPERLINK("https://12go.asia/en/travel/changsha/xigu", "12Go Link")</f>
        <v>12Go Link</v>
      </c>
      <c r="E1032" s="3" t="s">
        <v>94</v>
      </c>
      <c r="K1032" s="5"/>
    </row>
    <row r="1033">
      <c r="A1033" s="3" t="s">
        <v>745</v>
      </c>
      <c r="B1033" s="3" t="s">
        <v>712</v>
      </c>
      <c r="C1033" s="3" t="s">
        <v>1012</v>
      </c>
      <c r="D1033" s="4" t="str">
        <f>HYPERLINK("https://12go.asia/en/travel/changsha/xihu", "12Go Link")</f>
        <v>12Go Link</v>
      </c>
      <c r="E1033" s="3" t="s">
        <v>94</v>
      </c>
      <c r="K1033" s="5"/>
    </row>
    <row r="1034">
      <c r="A1034" s="3" t="s">
        <v>745</v>
      </c>
      <c r="B1034" s="3" t="s">
        <v>575</v>
      </c>
      <c r="C1034" s="3" t="s">
        <v>1013</v>
      </c>
      <c r="D1034" s="4" t="str">
        <f>HYPERLINK("https://12go.asia/en/travel/changsha/xishui", "12Go Link")</f>
        <v>12Go Link</v>
      </c>
      <c r="E1034" s="3" t="s">
        <v>94</v>
      </c>
      <c r="K1034" s="5"/>
    </row>
    <row r="1035">
      <c r="A1035" s="3" t="s">
        <v>745</v>
      </c>
      <c r="B1035" s="3" t="s">
        <v>716</v>
      </c>
      <c r="C1035" s="3" t="s">
        <v>1014</v>
      </c>
      <c r="D1035" s="4" t="str">
        <f>HYPERLINK("https://12go.asia/en/travel/changsha/xuanzhou", "12Go Link")</f>
        <v>12Go Link</v>
      </c>
      <c r="E1035" s="3" t="s">
        <v>94</v>
      </c>
      <c r="K1035" s="5"/>
    </row>
    <row r="1036">
      <c r="A1036" s="3" t="s">
        <v>745</v>
      </c>
      <c r="B1036" s="3" t="s">
        <v>577</v>
      </c>
      <c r="C1036" s="3" t="s">
        <v>1015</v>
      </c>
      <c r="D1036" s="4" t="str">
        <f>HYPERLINK("https://12go.asia/en/travel/changsha/xunxian", "12Go Link")</f>
        <v>12Go Link</v>
      </c>
      <c r="E1036" s="3" t="s">
        <v>94</v>
      </c>
      <c r="K1036" s="5"/>
    </row>
    <row r="1037">
      <c r="A1037" s="3" t="s">
        <v>745</v>
      </c>
      <c r="B1037" s="3" t="s">
        <v>720</v>
      </c>
      <c r="C1037" s="3" t="s">
        <v>1016</v>
      </c>
      <c r="D1037" s="4" t="str">
        <f>HYPERLINK("https://12go.asia/en/travel/changsha/yangchun", "12Go Link")</f>
        <v>12Go Link</v>
      </c>
      <c r="E1037" s="3" t="s">
        <v>94</v>
      </c>
      <c r="K1037" s="5"/>
    </row>
    <row r="1038">
      <c r="A1038" s="3" t="s">
        <v>745</v>
      </c>
      <c r="B1038" s="3" t="s">
        <v>1017</v>
      </c>
      <c r="C1038" s="3" t="s">
        <v>1018</v>
      </c>
      <c r="D1038" s="4" t="str">
        <f>HYPERLINK("https://12go.asia/en/travel/changsha-south/xintang", "12Go Link")</f>
        <v>12Go Link</v>
      </c>
      <c r="E1038" s="3" t="s">
        <v>94</v>
      </c>
      <c r="K1038" s="5"/>
    </row>
    <row r="1039">
      <c r="A1039" s="3" t="s">
        <v>745</v>
      </c>
      <c r="B1039" s="3" t="s">
        <v>1017</v>
      </c>
      <c r="C1039" s="3" t="s">
        <v>1019</v>
      </c>
      <c r="D1039" s="4" t="str">
        <f>HYPERLINK("https://12go.asia/en/travel/changsha-south/zengcheng", "12Go Link")</f>
        <v>12Go Link</v>
      </c>
      <c r="E1039" s="3" t="s">
        <v>94</v>
      </c>
      <c r="K1039" s="5"/>
    </row>
    <row r="1040">
      <c r="A1040" s="3" t="s">
        <v>745</v>
      </c>
      <c r="B1040" s="3" t="s">
        <v>1017</v>
      </c>
      <c r="C1040" s="3" t="s">
        <v>1020</v>
      </c>
      <c r="D1040" s="4" t="str">
        <f>HYPERLINK("https://12go.asia/en/travel/changsha/zengcheng", "12Go Link")</f>
        <v>12Go Link</v>
      </c>
      <c r="E1040" s="3" t="s">
        <v>94</v>
      </c>
      <c r="K1040" s="5"/>
    </row>
    <row r="1041">
      <c r="A1041" s="3" t="s">
        <v>745</v>
      </c>
      <c r="B1041" s="3" t="s">
        <v>1021</v>
      </c>
      <c r="C1041" s="3" t="s">
        <v>1022</v>
      </c>
      <c r="D1041" s="4" t="str">
        <f>HYPERLINK("https://12go.asia/en/travel/changsha-south/yuyao-north", "12Go Link")</f>
        <v>12Go Link</v>
      </c>
      <c r="E1041" s="3" t="s">
        <v>94</v>
      </c>
      <c r="K1041" s="5"/>
    </row>
    <row r="1042">
      <c r="A1042" s="3" t="s">
        <v>745</v>
      </c>
      <c r="B1042" s="3" t="s">
        <v>727</v>
      </c>
      <c r="C1042" s="3" t="s">
        <v>1023</v>
      </c>
      <c r="D1042" s="4" t="str">
        <f>HYPERLINK("https://12go.asia/en/travel/changsha/hetang", "12Go Link")</f>
        <v>12Go Link</v>
      </c>
      <c r="E1042" s="3" t="s">
        <v>94</v>
      </c>
      <c r="K1042" s="5"/>
    </row>
    <row r="1043">
      <c r="A1043" s="3" t="s">
        <v>831</v>
      </c>
      <c r="B1043" s="3" t="s">
        <v>515</v>
      </c>
      <c r="C1043" s="3" t="s">
        <v>1024</v>
      </c>
      <c r="D1043" s="4" t="str">
        <f>HYPERLINK("https://12go.asia/en/travel/changzhou-north/anyang-east", "12Go Link")</f>
        <v>12Go Link</v>
      </c>
      <c r="E1043" s="3" t="s">
        <v>94</v>
      </c>
      <c r="K1043" s="5"/>
    </row>
    <row r="1044">
      <c r="A1044" s="3" t="s">
        <v>831</v>
      </c>
      <c r="B1044" s="3" t="s">
        <v>515</v>
      </c>
      <c r="C1044" s="3" t="s">
        <v>1025</v>
      </c>
      <c r="D1044" s="4" t="str">
        <f>HYPERLINK("https://12go.asia/en/travel/changzhou/anyang", "12Go Link")</f>
        <v>12Go Link</v>
      </c>
      <c r="E1044" s="3" t="s">
        <v>94</v>
      </c>
      <c r="K1044" s="5"/>
    </row>
    <row r="1045">
      <c r="A1045" s="3" t="s">
        <v>831</v>
      </c>
      <c r="B1045" s="3" t="s">
        <v>1026</v>
      </c>
      <c r="C1045" s="3" t="s">
        <v>1027</v>
      </c>
      <c r="D1045" s="4" t="str">
        <f>HYPERLINK("https://12go.asia/en/travel/changzhou/baotou", "12Go Link")</f>
        <v>12Go Link</v>
      </c>
      <c r="E1045" s="3" t="s">
        <v>94</v>
      </c>
      <c r="K1045" s="5"/>
    </row>
    <row r="1046">
      <c r="A1046" s="3" t="s">
        <v>831</v>
      </c>
      <c r="B1046" s="3" t="s">
        <v>1026</v>
      </c>
      <c r="C1046" s="3" t="s">
        <v>1028</v>
      </c>
      <c r="D1046" s="4" t="str">
        <f>HYPERLINK("https://12go.asia/en/travel/changzhou/baotou-east", "12Go Link")</f>
        <v>12Go Link</v>
      </c>
      <c r="E1046" s="3" t="s">
        <v>94</v>
      </c>
      <c r="K1046" s="5"/>
    </row>
    <row r="1047">
      <c r="A1047" s="3" t="s">
        <v>831</v>
      </c>
      <c r="B1047" s="3" t="s">
        <v>851</v>
      </c>
      <c r="C1047" s="3" t="s">
        <v>1029</v>
      </c>
      <c r="D1047" s="4" t="str">
        <f>HYPERLINK("https://12go.asia/en/travel/changzhou/guangxi", "12Go Link")</f>
        <v>12Go Link</v>
      </c>
      <c r="E1047" s="3" t="s">
        <v>94</v>
      </c>
      <c r="K1047" s="5"/>
    </row>
    <row r="1048">
      <c r="A1048" s="3" t="s">
        <v>831</v>
      </c>
      <c r="B1048" s="3" t="s">
        <v>524</v>
      </c>
      <c r="C1048" s="3" t="s">
        <v>1030</v>
      </c>
      <c r="D1048" s="4" t="str">
        <f>HYPERLINK("https://12go.asia/en/travel/changzhou/guzhang", "12Go Link")</f>
        <v>12Go Link</v>
      </c>
      <c r="E1048" s="3" t="s">
        <v>94</v>
      </c>
      <c r="K1048" s="5"/>
    </row>
    <row r="1049">
      <c r="A1049" s="3" t="s">
        <v>831</v>
      </c>
      <c r="B1049" s="3" t="s">
        <v>526</v>
      </c>
      <c r="C1049" s="3" t="s">
        <v>1031</v>
      </c>
      <c r="D1049" s="4" t="str">
        <f>HYPERLINK("https://12go.asia/en/travel/changzhou/harbin-east", "12Go Link")</f>
        <v>12Go Link</v>
      </c>
      <c r="E1049" s="3" t="s">
        <v>94</v>
      </c>
      <c r="K1049" s="5"/>
    </row>
    <row r="1050">
      <c r="A1050" s="3" t="s">
        <v>831</v>
      </c>
      <c r="B1050" s="3" t="s">
        <v>532</v>
      </c>
      <c r="C1050" s="3" t="s">
        <v>1032</v>
      </c>
      <c r="D1050" s="4" t="str">
        <f>HYPERLINK("https://12go.asia/en/travel/changzhou/heilongjiang", "12Go Link")</f>
        <v>12Go Link</v>
      </c>
      <c r="E1050" s="3" t="s">
        <v>94</v>
      </c>
      <c r="K1050" s="5"/>
    </row>
    <row r="1051">
      <c r="A1051" s="3" t="s">
        <v>831</v>
      </c>
      <c r="B1051" s="3" t="s">
        <v>1033</v>
      </c>
      <c r="C1051" s="3" t="s">
        <v>1034</v>
      </c>
      <c r="D1051" s="4" t="str">
        <f>HYPERLINK("https://12go.asia/en/travel/changzhou/henan", "12Go Link")</f>
        <v>12Go Link</v>
      </c>
      <c r="E1051" s="3" t="s">
        <v>94</v>
      </c>
      <c r="K1051" s="5"/>
    </row>
    <row r="1052">
      <c r="A1052" s="3" t="s">
        <v>831</v>
      </c>
      <c r="B1052" s="3" t="s">
        <v>626</v>
      </c>
      <c r="C1052" s="3" t="s">
        <v>1035</v>
      </c>
      <c r="D1052" s="4" t="str">
        <f>HYPERLINK("https://12go.asia/en/travel/changzhou/huade", "12Go Link")</f>
        <v>12Go Link</v>
      </c>
      <c r="E1052" s="3" t="s">
        <v>94</v>
      </c>
      <c r="K1052" s="5"/>
    </row>
    <row r="1053">
      <c r="A1053" s="3" t="s">
        <v>831</v>
      </c>
      <c r="B1053" s="3" t="s">
        <v>1036</v>
      </c>
      <c r="C1053" s="3" t="s">
        <v>1037</v>
      </c>
      <c r="D1053" s="4" t="str">
        <f>HYPERLINK("https://12go.asia/en/travel/changzhou-north/huainan-south", "12Go Link")</f>
        <v>12Go Link</v>
      </c>
      <c r="E1053" s="3" t="s">
        <v>94</v>
      </c>
      <c r="K1053" s="5"/>
    </row>
    <row r="1054">
      <c r="A1054" s="3" t="s">
        <v>831</v>
      </c>
      <c r="B1054" s="3" t="s">
        <v>1036</v>
      </c>
      <c r="C1054" s="3" t="s">
        <v>1038</v>
      </c>
      <c r="D1054" s="4" t="str">
        <f>HYPERLINK("https://12go.asia/en/travel/changzhou-north/shouxian", "12Go Link")</f>
        <v>12Go Link</v>
      </c>
      <c r="E1054" s="3" t="s">
        <v>94</v>
      </c>
      <c r="K1054" s="5"/>
    </row>
    <row r="1055">
      <c r="A1055" s="3" t="s">
        <v>831</v>
      </c>
      <c r="B1055" s="3" t="s">
        <v>1036</v>
      </c>
      <c r="C1055" s="3" t="s">
        <v>1039</v>
      </c>
      <c r="D1055" s="4" t="str">
        <f>HYPERLINK("https://12go.asia/en/travel/changzhou/huainan", "12Go Link")</f>
        <v>12Go Link</v>
      </c>
      <c r="E1055" s="3" t="s">
        <v>94</v>
      </c>
      <c r="K1055" s="5"/>
    </row>
    <row r="1056">
      <c r="A1056" s="3" t="s">
        <v>831</v>
      </c>
      <c r="B1056" s="3" t="s">
        <v>1036</v>
      </c>
      <c r="C1056" s="3" t="s">
        <v>1040</v>
      </c>
      <c r="D1056" s="4" t="str">
        <f>HYPERLINK("https://12go.asia/en/travel/changzhou/huainan-south", "12Go Link")</f>
        <v>12Go Link</v>
      </c>
      <c r="E1056" s="3" t="s">
        <v>94</v>
      </c>
      <c r="K1056" s="5"/>
    </row>
    <row r="1057">
      <c r="A1057" s="3" t="s">
        <v>831</v>
      </c>
      <c r="B1057" s="3" t="s">
        <v>632</v>
      </c>
      <c r="C1057" s="3" t="s">
        <v>1041</v>
      </c>
      <c r="D1057" s="4" t="str">
        <f>HYPERLINK("https://12go.asia/en/travel/changzhou/guangzhoubaiyun", "12Go Link")</f>
        <v>12Go Link</v>
      </c>
      <c r="E1057" s="3" t="s">
        <v>94</v>
      </c>
      <c r="K1057" s="5"/>
    </row>
    <row r="1058">
      <c r="A1058" s="3" t="s">
        <v>831</v>
      </c>
      <c r="B1058" s="3" t="s">
        <v>632</v>
      </c>
      <c r="C1058" s="3" t="s">
        <v>1042</v>
      </c>
      <c r="D1058" s="4" t="str">
        <f>HYPERLINK("https://12go.asia/en/travel/changzhou/huaxi", "12Go Link")</f>
        <v>12Go Link</v>
      </c>
      <c r="E1058" s="3" t="s">
        <v>94</v>
      </c>
      <c r="K1058" s="5"/>
    </row>
    <row r="1059">
      <c r="A1059" s="3" t="s">
        <v>831</v>
      </c>
      <c r="B1059" s="3" t="s">
        <v>536</v>
      </c>
      <c r="C1059" s="3" t="s">
        <v>1043</v>
      </c>
      <c r="D1059" s="4" t="str">
        <f>HYPERLINK("https://12go.asia/en/travel/changzhou/hunan", "12Go Link")</f>
        <v>12Go Link</v>
      </c>
      <c r="E1059" s="3" t="s">
        <v>94</v>
      </c>
      <c r="K1059" s="5"/>
    </row>
    <row r="1060">
      <c r="A1060" s="3" t="s">
        <v>831</v>
      </c>
      <c r="B1060" s="3" t="s">
        <v>1044</v>
      </c>
      <c r="C1060" s="3" t="s">
        <v>1045</v>
      </c>
      <c r="D1060" s="4" t="str">
        <f>HYPERLINK("https://12go.asia/en/travel/changzhou/inner-mongolia", "12Go Link")</f>
        <v>12Go Link</v>
      </c>
      <c r="E1060" s="3" t="s">
        <v>94</v>
      </c>
      <c r="K1060" s="5"/>
    </row>
    <row r="1061">
      <c r="A1061" s="3" t="s">
        <v>831</v>
      </c>
      <c r="B1061" s="3" t="s">
        <v>643</v>
      </c>
      <c r="C1061" s="3" t="s">
        <v>1046</v>
      </c>
      <c r="D1061" s="4" t="str">
        <f>HYPERLINK("https://12go.asia/en/travel/changzhou/jiangning", "12Go Link")</f>
        <v>12Go Link</v>
      </c>
      <c r="E1061" s="3" t="s">
        <v>94</v>
      </c>
      <c r="K1061" s="5"/>
    </row>
    <row r="1062">
      <c r="A1062" s="3" t="s">
        <v>831</v>
      </c>
      <c r="B1062" s="3" t="s">
        <v>643</v>
      </c>
      <c r="C1062" s="3" t="s">
        <v>1047</v>
      </c>
      <c r="D1062" s="4" t="str">
        <f>HYPERLINK("https://12go.asia/en/travel/changzhou/jiangning-west", "12Go Link")</f>
        <v>12Go Link</v>
      </c>
      <c r="E1062" s="3" t="s">
        <v>94</v>
      </c>
      <c r="K1062" s="5"/>
    </row>
    <row r="1063">
      <c r="A1063" s="3" t="s">
        <v>831</v>
      </c>
      <c r="B1063" s="3" t="s">
        <v>538</v>
      </c>
      <c r="C1063" s="3" t="s">
        <v>1048</v>
      </c>
      <c r="D1063" s="4" t="str">
        <f>HYPERLINK("https://12go.asia/en/travel/changzhou/jiangxi", "12Go Link")</f>
        <v>12Go Link</v>
      </c>
      <c r="E1063" s="3" t="s">
        <v>94</v>
      </c>
      <c r="K1063" s="5"/>
    </row>
    <row r="1064">
      <c r="A1064" s="3" t="s">
        <v>831</v>
      </c>
      <c r="B1064" s="3" t="s">
        <v>540</v>
      </c>
      <c r="C1064" s="3" t="s">
        <v>1049</v>
      </c>
      <c r="D1064" s="4" t="str">
        <f>HYPERLINK("https://12go.asia/en/travel/changzhou/jiangzhou", "12Go Link")</f>
        <v>12Go Link</v>
      </c>
      <c r="E1064" s="3" t="s">
        <v>94</v>
      </c>
      <c r="K1064" s="5"/>
    </row>
    <row r="1065">
      <c r="A1065" s="3" t="s">
        <v>831</v>
      </c>
      <c r="B1065" s="3" t="s">
        <v>655</v>
      </c>
      <c r="C1065" s="3" t="s">
        <v>1050</v>
      </c>
      <c r="D1065" s="4" t="str">
        <f>HYPERLINK("https://12go.asia/en/travel/changzhou/jiaxiang", "12Go Link")</f>
        <v>12Go Link</v>
      </c>
      <c r="E1065" s="3" t="s">
        <v>94</v>
      </c>
      <c r="K1065" s="5"/>
    </row>
    <row r="1066">
      <c r="A1066" s="3" t="s">
        <v>831</v>
      </c>
      <c r="B1066" s="3" t="s">
        <v>1051</v>
      </c>
      <c r="C1066" s="3" t="s">
        <v>1052</v>
      </c>
      <c r="D1066" s="4" t="str">
        <f>HYPERLINK("https://12go.asia/en/travel/changzhou/jiujiang", "12Go Link")</f>
        <v>12Go Link</v>
      </c>
      <c r="E1066" s="3" t="s">
        <v>94</v>
      </c>
      <c r="K1066" s="5"/>
    </row>
    <row r="1067">
      <c r="A1067" s="3" t="s">
        <v>831</v>
      </c>
      <c r="B1067" s="3" t="s">
        <v>588</v>
      </c>
      <c r="C1067" s="3" t="s">
        <v>1053</v>
      </c>
      <c r="D1067" s="4" t="str">
        <f>HYPERLINK("https://12go.asia/en/travel/changzhou-north/kaifeng-north", "12Go Link")</f>
        <v>12Go Link</v>
      </c>
      <c r="E1067" s="3" t="s">
        <v>94</v>
      </c>
      <c r="K1067" s="5"/>
    </row>
    <row r="1068">
      <c r="A1068" s="3" t="s">
        <v>831</v>
      </c>
      <c r="B1068" s="3" t="s">
        <v>588</v>
      </c>
      <c r="C1068" s="3" t="s">
        <v>1054</v>
      </c>
      <c r="D1068" s="4" t="str">
        <f>HYPERLINK("https://12go.asia/en/travel/changzhou/kaifeng", "12Go Link")</f>
        <v>12Go Link</v>
      </c>
      <c r="E1068" s="3" t="s">
        <v>94</v>
      </c>
      <c r="K1068" s="5"/>
    </row>
    <row r="1069">
      <c r="A1069" s="3" t="s">
        <v>831</v>
      </c>
      <c r="B1069" s="3" t="s">
        <v>588</v>
      </c>
      <c r="C1069" s="3" t="s">
        <v>1055</v>
      </c>
      <c r="D1069" s="4" t="str">
        <f>HYPERLINK("https://12go.asia/en/travel/changzhou/kaifeng-north", "12Go Link")</f>
        <v>12Go Link</v>
      </c>
      <c r="E1069" s="3" t="s">
        <v>94</v>
      </c>
      <c r="K1069" s="5"/>
    </row>
    <row r="1070">
      <c r="A1070" s="3" t="s">
        <v>831</v>
      </c>
      <c r="B1070" s="3" t="s">
        <v>679</v>
      </c>
      <c r="C1070" s="3" t="s">
        <v>1056</v>
      </c>
      <c r="D1070" s="4" t="str">
        <f>HYPERLINK("https://12go.asia/en/travel/changzhou/mingxi", "12Go Link")</f>
        <v>12Go Link</v>
      </c>
      <c r="E1070" s="3" t="s">
        <v>94</v>
      </c>
      <c r="K1070" s="5"/>
    </row>
    <row r="1071">
      <c r="A1071" s="3" t="s">
        <v>831</v>
      </c>
      <c r="B1071" s="3" t="s">
        <v>1057</v>
      </c>
      <c r="C1071" s="3" t="s">
        <v>1058</v>
      </c>
      <c r="D1071" s="4" t="str">
        <f>HYPERLINK("https://12go.asia/en/travel/changzhou-north/shangqiu", "12Go Link")</f>
        <v>12Go Link</v>
      </c>
      <c r="E1071" s="3" t="s">
        <v>94</v>
      </c>
      <c r="K1071" s="5"/>
    </row>
    <row r="1072">
      <c r="A1072" s="3" t="s">
        <v>831</v>
      </c>
      <c r="B1072" s="3" t="s">
        <v>1057</v>
      </c>
      <c r="C1072" s="3" t="s">
        <v>1059</v>
      </c>
      <c r="D1072" s="4" t="str">
        <f>HYPERLINK("https://12go.asia/en/travel/changzhou/shangqiu", "12Go Link")</f>
        <v>12Go Link</v>
      </c>
      <c r="E1072" s="3" t="s">
        <v>94</v>
      </c>
      <c r="K1072" s="5"/>
    </row>
    <row r="1073">
      <c r="A1073" s="3" t="s">
        <v>831</v>
      </c>
      <c r="B1073" s="3" t="s">
        <v>560</v>
      </c>
      <c r="C1073" s="3" t="s">
        <v>1060</v>
      </c>
      <c r="D1073" s="4" t="str">
        <f>HYPERLINK("https://12go.asia/en/travel/changzhou/shuangliu", "12Go Link")</f>
        <v>12Go Link</v>
      </c>
      <c r="E1073" s="3" t="s">
        <v>94</v>
      </c>
      <c r="K1073" s="5"/>
    </row>
    <row r="1074">
      <c r="A1074" s="3" t="s">
        <v>831</v>
      </c>
      <c r="B1074" s="3" t="s">
        <v>698</v>
      </c>
      <c r="C1074" s="3" t="s">
        <v>1061</v>
      </c>
      <c r="D1074" s="4" t="str">
        <f>HYPERLINK("https://12go.asia/en/travel/changzhou/sihui", "12Go Link")</f>
        <v>12Go Link</v>
      </c>
      <c r="E1074" s="3" t="s">
        <v>94</v>
      </c>
      <c r="K1074" s="5"/>
    </row>
    <row r="1075">
      <c r="A1075" s="3" t="s">
        <v>831</v>
      </c>
      <c r="B1075" s="3" t="s">
        <v>917</v>
      </c>
      <c r="C1075" s="3" t="s">
        <v>1062</v>
      </c>
      <c r="D1075" s="4" t="str">
        <f>HYPERLINK("https://12go.asia/en/travel/changzhou-north/shanghai-songjiang", "12Go Link")</f>
        <v>12Go Link</v>
      </c>
      <c r="E1075" s="3" t="s">
        <v>94</v>
      </c>
      <c r="K1075" s="5"/>
    </row>
    <row r="1076">
      <c r="A1076" s="3" t="s">
        <v>831</v>
      </c>
      <c r="B1076" s="3" t="s">
        <v>917</v>
      </c>
      <c r="C1076" s="3" t="s">
        <v>1063</v>
      </c>
      <c r="D1076" s="4" t="str">
        <f>HYPERLINK("https://12go.asia/en/travel/changzhou/shanghai-songjiang", "12Go Link")</f>
        <v>12Go Link</v>
      </c>
      <c r="E1076" s="3" t="s">
        <v>94</v>
      </c>
      <c r="K1076" s="5"/>
    </row>
    <row r="1077">
      <c r="A1077" s="3" t="s">
        <v>831</v>
      </c>
      <c r="B1077" s="3" t="s">
        <v>917</v>
      </c>
      <c r="C1077" s="3" t="s">
        <v>1064</v>
      </c>
      <c r="D1077" s="4" t="str">
        <f>HYPERLINK("https://12go.asia/en/travel/changzhou/songjiang-north", "12Go Link")</f>
        <v>12Go Link</v>
      </c>
      <c r="E1077" s="3" t="s">
        <v>94</v>
      </c>
      <c r="K1077" s="5"/>
    </row>
    <row r="1078">
      <c r="A1078" s="3" t="s">
        <v>831</v>
      </c>
      <c r="B1078" s="3" t="s">
        <v>917</v>
      </c>
      <c r="C1078" s="3" t="s">
        <v>1065</v>
      </c>
      <c r="D1078" s="4" t="str">
        <f>HYPERLINK("https://12go.asia/en/travel/changzhou/songjiang-shanghai", "12Go Link")</f>
        <v>12Go Link</v>
      </c>
      <c r="E1078" s="3" t="s">
        <v>94</v>
      </c>
      <c r="K1078" s="5"/>
    </row>
    <row r="1079">
      <c r="A1079" s="3" t="s">
        <v>831</v>
      </c>
      <c r="B1079" s="3" t="s">
        <v>997</v>
      </c>
      <c r="C1079" s="3" t="s">
        <v>1066</v>
      </c>
      <c r="D1079" s="4" t="str">
        <f>HYPERLINK("https://12go.asia/en/travel/changzhou-north/taian-shandong", "12Go Link")</f>
        <v>12Go Link</v>
      </c>
      <c r="E1079" s="3" t="s">
        <v>94</v>
      </c>
      <c r="K1079" s="5"/>
    </row>
    <row r="1080">
      <c r="A1080" s="3" t="s">
        <v>831</v>
      </c>
      <c r="B1080" s="3" t="s">
        <v>997</v>
      </c>
      <c r="C1080" s="3" t="s">
        <v>1067</v>
      </c>
      <c r="D1080" s="4" t="str">
        <f>HYPERLINK("https://12go.asia/en/travel/changzhou/taian-shandong", "12Go Link")</f>
        <v>12Go Link</v>
      </c>
      <c r="E1080" s="3" t="s">
        <v>94</v>
      </c>
      <c r="K1080" s="5"/>
    </row>
    <row r="1081">
      <c r="A1081" s="3" t="s">
        <v>831</v>
      </c>
      <c r="B1081" s="3" t="s">
        <v>997</v>
      </c>
      <c r="C1081" s="3" t="s">
        <v>1068</v>
      </c>
      <c r="D1081" s="4" t="str">
        <f>HYPERLINK("https://12go.asia/en/travel/changzhou/taishan-shandong", "12Go Link")</f>
        <v>12Go Link</v>
      </c>
      <c r="E1081" s="3" t="s">
        <v>94</v>
      </c>
      <c r="K1081" s="5"/>
    </row>
    <row r="1082">
      <c r="A1082" s="3" t="s">
        <v>831</v>
      </c>
      <c r="B1082" s="3" t="s">
        <v>564</v>
      </c>
      <c r="C1082" s="3" t="s">
        <v>1069</v>
      </c>
      <c r="D1082" s="4" t="str">
        <f>HYPERLINK("https://12go.asia/en/travel/changzhou/tianxin", "12Go Link")</f>
        <v>12Go Link</v>
      </c>
      <c r="E1082" s="3" t="s">
        <v>94</v>
      </c>
      <c r="K1082" s="5"/>
    </row>
    <row r="1083">
      <c r="A1083" s="3" t="s">
        <v>831</v>
      </c>
      <c r="B1083" s="3" t="s">
        <v>566</v>
      </c>
      <c r="C1083" s="3" t="s">
        <v>1070</v>
      </c>
      <c r="D1083" s="4" t="str">
        <f>HYPERLINK("https://12go.asia/en/travel/changzhou/wenjiang", "12Go Link")</f>
        <v>12Go Link</v>
      </c>
      <c r="E1083" s="3" t="s">
        <v>94</v>
      </c>
      <c r="K1083" s="5"/>
    </row>
    <row r="1084">
      <c r="A1084" s="3" t="s">
        <v>831</v>
      </c>
      <c r="B1084" s="3" t="s">
        <v>712</v>
      </c>
      <c r="C1084" s="3" t="s">
        <v>1071</v>
      </c>
      <c r="D1084" s="4" t="str">
        <f>HYPERLINK("https://12go.asia/en/travel/changzhou/xihu", "12Go Link")</f>
        <v>12Go Link</v>
      </c>
      <c r="E1084" s="3" t="s">
        <v>94</v>
      </c>
      <c r="K1084" s="5"/>
    </row>
    <row r="1085">
      <c r="A1085" s="3" t="s">
        <v>831</v>
      </c>
      <c r="B1085" s="3" t="s">
        <v>575</v>
      </c>
      <c r="C1085" s="3" t="s">
        <v>1072</v>
      </c>
      <c r="D1085" s="4" t="str">
        <f>HYPERLINK("https://12go.asia/en/travel/changzhou/xishui", "12Go Link")</f>
        <v>12Go Link</v>
      </c>
      <c r="E1085" s="3" t="s">
        <v>94</v>
      </c>
      <c r="K1085" s="5"/>
    </row>
    <row r="1086">
      <c r="A1086" s="3" t="s">
        <v>831</v>
      </c>
      <c r="B1086" s="3" t="s">
        <v>809</v>
      </c>
      <c r="C1086" s="3" t="s">
        <v>1073</v>
      </c>
      <c r="D1086" s="4" t="str">
        <f>HYPERLINK("https://12go.asia/en/travel/changzhou-north/xuchang-north", "12Go Link")</f>
        <v>12Go Link</v>
      </c>
      <c r="E1086" s="3" t="s">
        <v>94</v>
      </c>
      <c r="K1086" s="5"/>
    </row>
    <row r="1087">
      <c r="A1087" s="3" t="s">
        <v>831</v>
      </c>
      <c r="B1087" s="3" t="s">
        <v>809</v>
      </c>
      <c r="C1087" s="3" t="s">
        <v>1074</v>
      </c>
      <c r="D1087" s="4" t="str">
        <f>HYPERLINK("https://12go.asia/en/travel/changzhou/xuchang", "12Go Link")</f>
        <v>12Go Link</v>
      </c>
      <c r="E1087" s="3" t="s">
        <v>94</v>
      </c>
      <c r="K1087" s="5"/>
    </row>
    <row r="1088">
      <c r="A1088" s="3" t="s">
        <v>831</v>
      </c>
      <c r="B1088" s="3" t="s">
        <v>577</v>
      </c>
      <c r="C1088" s="3" t="s">
        <v>1075</v>
      </c>
      <c r="D1088" s="4" t="str">
        <f>HYPERLINK("https://12go.asia/en/travel/changzhou/xunxian", "12Go Link")</f>
        <v>12Go Link</v>
      </c>
      <c r="E1088" s="3" t="s">
        <v>94</v>
      </c>
      <c r="K1088" s="5"/>
    </row>
    <row r="1089">
      <c r="A1089" s="3" t="s">
        <v>831</v>
      </c>
      <c r="B1089" s="3" t="s">
        <v>582</v>
      </c>
      <c r="C1089" s="3" t="s">
        <v>1076</v>
      </c>
      <c r="D1089" s="4" t="str">
        <f>HYPERLINK("https://12go.asia/en/travel/changzhou/yuncheng", "12Go Link")</f>
        <v>12Go Link</v>
      </c>
      <c r="E1089" s="3" t="s">
        <v>94</v>
      </c>
      <c r="K1089" s="5"/>
    </row>
    <row r="1090">
      <c r="A1090" s="3" t="s">
        <v>831</v>
      </c>
      <c r="B1090" s="3" t="s">
        <v>585</v>
      </c>
      <c r="C1090" s="3" t="s">
        <v>1077</v>
      </c>
      <c r="D1090" s="4" t="str">
        <f>HYPERLINK("https://12go.asia/en/travel/changzhou-north/zhengzhou-hangkonggang", "12Go Link")</f>
        <v>12Go Link</v>
      </c>
      <c r="E1090" s="3" t="s">
        <v>94</v>
      </c>
      <c r="K1090" s="5"/>
    </row>
    <row r="1091">
      <c r="A1091" s="3" t="s">
        <v>1078</v>
      </c>
      <c r="B1091" s="3" t="s">
        <v>1079</v>
      </c>
      <c r="C1091" s="3" t="s">
        <v>1080</v>
      </c>
      <c r="D1091" s="4" t="str">
        <f>HYPERLINK("https://12go.asia/en/travel/chaohu/anhui", "12Go Link")</f>
        <v>12Go Link</v>
      </c>
      <c r="E1091" s="3" t="s">
        <v>94</v>
      </c>
      <c r="K1091" s="5"/>
    </row>
    <row r="1092">
      <c r="A1092" s="3" t="s">
        <v>1078</v>
      </c>
      <c r="B1092" s="3" t="s">
        <v>1081</v>
      </c>
      <c r="C1092" s="3" t="s">
        <v>1082</v>
      </c>
      <c r="D1092" s="4" t="str">
        <f>HYPERLINK("https://12go.asia/en/travel/chaohu/hefei", "12Go Link")</f>
        <v>12Go Link</v>
      </c>
      <c r="E1092" s="3" t="s">
        <v>94</v>
      </c>
      <c r="K1092" s="5"/>
    </row>
    <row r="1093">
      <c r="A1093" s="3" t="s">
        <v>835</v>
      </c>
      <c r="B1093" s="3" t="s">
        <v>1083</v>
      </c>
      <c r="C1093" s="3" t="s">
        <v>1084</v>
      </c>
      <c r="D1093" s="4" t="str">
        <f>HYPERLINK("https://12go.asia/en/travel/chaoyang-liaoning/chengde", "12Go Link")</f>
        <v>12Go Link</v>
      </c>
      <c r="E1093" s="3" t="s">
        <v>94</v>
      </c>
      <c r="K1093" s="5"/>
    </row>
    <row r="1094">
      <c r="A1094" s="3" t="s">
        <v>835</v>
      </c>
      <c r="B1094" s="3" t="s">
        <v>1083</v>
      </c>
      <c r="C1094" s="3" t="s">
        <v>1085</v>
      </c>
      <c r="D1094" s="4" t="str">
        <f>HYPERLINK("https://12go.asia/en/travel/liaoning-chaoyang/chengde-south", "12Go Link")</f>
        <v>12Go Link</v>
      </c>
      <c r="E1094" s="3" t="s">
        <v>94</v>
      </c>
      <c r="K1094" s="5"/>
    </row>
    <row r="1095">
      <c r="A1095" s="3" t="s">
        <v>835</v>
      </c>
      <c r="B1095" s="3" t="s">
        <v>1086</v>
      </c>
      <c r="C1095" s="3" t="s">
        <v>1087</v>
      </c>
      <c r="D1095" s="4" t="str">
        <f>HYPERLINK("https://12go.asia/en/travel/chaoyang-liaoning/chifeng", "12Go Link")</f>
        <v>12Go Link</v>
      </c>
      <c r="E1095" s="3" t="s">
        <v>94</v>
      </c>
      <c r="K1095" s="5"/>
    </row>
    <row r="1096">
      <c r="A1096" s="3" t="s">
        <v>835</v>
      </c>
      <c r="B1096" s="3" t="s">
        <v>1086</v>
      </c>
      <c r="C1096" s="3" t="s">
        <v>1088</v>
      </c>
      <c r="D1096" s="4" t="str">
        <f>HYPERLINK("https://12go.asia/en/travel/liaoning-chaoyang/chifeng", "12Go Link")</f>
        <v>12Go Link</v>
      </c>
      <c r="E1096" s="3" t="s">
        <v>94</v>
      </c>
      <c r="K1096" s="5"/>
    </row>
    <row r="1097">
      <c r="A1097" s="3" t="s">
        <v>835</v>
      </c>
      <c r="B1097" s="3" t="s">
        <v>1089</v>
      </c>
      <c r="C1097" s="3" t="s">
        <v>1090</v>
      </c>
      <c r="D1097" s="4" t="str">
        <f>HYPERLINK("https://12go.asia/en/travel/chaoyang-liaoning/fuxin", "12Go Link")</f>
        <v>12Go Link</v>
      </c>
      <c r="E1097" s="3" t="s">
        <v>94</v>
      </c>
      <c r="K1097" s="5"/>
    </row>
    <row r="1098">
      <c r="A1098" s="3" t="s">
        <v>835</v>
      </c>
      <c r="B1098" s="3" t="s">
        <v>1089</v>
      </c>
      <c r="C1098" s="3" t="s">
        <v>1091</v>
      </c>
      <c r="D1098" s="4" t="str">
        <f>HYPERLINK("https://12go.asia/en/travel/liaoning-chaoyang/fuxin", "12Go Link")</f>
        <v>12Go Link</v>
      </c>
      <c r="E1098" s="3" t="s">
        <v>94</v>
      </c>
      <c r="K1098" s="5"/>
    </row>
    <row r="1099">
      <c r="A1099" s="3" t="s">
        <v>835</v>
      </c>
      <c r="B1099" s="3" t="s">
        <v>1092</v>
      </c>
      <c r="C1099" s="3" t="s">
        <v>1093</v>
      </c>
      <c r="D1099" s="4" t="str">
        <f>HYPERLINK("https://12go.asia/en/travel/chaoyang-liaoning/jinzhou", "12Go Link")</f>
        <v>12Go Link</v>
      </c>
      <c r="E1099" s="3" t="s">
        <v>94</v>
      </c>
      <c r="K1099" s="5"/>
    </row>
    <row r="1100">
      <c r="A1100" s="3" t="s">
        <v>835</v>
      </c>
      <c r="B1100" s="3" t="s">
        <v>1092</v>
      </c>
      <c r="C1100" s="3" t="s">
        <v>1094</v>
      </c>
      <c r="D1100" s="4" t="str">
        <f>HYPERLINK("https://12go.asia/en/travel/liaoning-chaoyang/jinzhou-north", "12Go Link")</f>
        <v>12Go Link</v>
      </c>
      <c r="E1100" s="3" t="s">
        <v>94</v>
      </c>
      <c r="K1100" s="5"/>
    </row>
    <row r="1101">
      <c r="A1101" s="3" t="s">
        <v>1083</v>
      </c>
      <c r="B1101" s="3" t="s">
        <v>587</v>
      </c>
      <c r="C1101" s="3" t="s">
        <v>1095</v>
      </c>
      <c r="D1101" s="4" t="str">
        <f>HYPERLINK("https://12go.asia/en/travel/chengde-south/baoding-east", "12Go Link")</f>
        <v>12Go Link</v>
      </c>
      <c r="E1101" s="3" t="s">
        <v>94</v>
      </c>
      <c r="K1101" s="5"/>
    </row>
    <row r="1102">
      <c r="A1102" s="3" t="s">
        <v>1083</v>
      </c>
      <c r="B1102" s="3" t="s">
        <v>587</v>
      </c>
      <c r="C1102" s="3" t="s">
        <v>1096</v>
      </c>
      <c r="D1102" s="4" t="str">
        <f>HYPERLINK("https://12go.asia/en/travel/chengde/baoding", "12Go Link")</f>
        <v>12Go Link</v>
      </c>
      <c r="E1102" s="3" t="s">
        <v>94</v>
      </c>
      <c r="K1102" s="5"/>
    </row>
    <row r="1103">
      <c r="A1103" s="3" t="s">
        <v>1083</v>
      </c>
      <c r="B1103" s="3" t="s">
        <v>740</v>
      </c>
      <c r="C1103" s="3" t="s">
        <v>1097</v>
      </c>
      <c r="D1103" s="4" t="str">
        <f>HYPERLINK("https://12go.asia/en/travel/chengde-south/changchun", "12Go Link")</f>
        <v>12Go Link</v>
      </c>
      <c r="E1103" s="3" t="s">
        <v>94</v>
      </c>
      <c r="K1103" s="5"/>
    </row>
    <row r="1104">
      <c r="A1104" s="3" t="s">
        <v>1083</v>
      </c>
      <c r="B1104" s="3" t="s">
        <v>740</v>
      </c>
      <c r="C1104" s="3" t="s">
        <v>1098</v>
      </c>
      <c r="D1104" s="4" t="str">
        <f>HYPERLINK("https://12go.asia/en/travel/chengde-south/changchun-west", "12Go Link")</f>
        <v>12Go Link</v>
      </c>
      <c r="E1104" s="3" t="s">
        <v>94</v>
      </c>
      <c r="K1104" s="5"/>
    </row>
    <row r="1105">
      <c r="A1105" s="3" t="s">
        <v>1083</v>
      </c>
      <c r="B1105" s="3" t="s">
        <v>740</v>
      </c>
      <c r="C1105" s="3" t="s">
        <v>1099</v>
      </c>
      <c r="D1105" s="4" t="str">
        <f>HYPERLINK("https://12go.asia/en/travel/chengde/changchun", "12Go Link")</f>
        <v>12Go Link</v>
      </c>
      <c r="E1105" s="3" t="s">
        <v>94</v>
      </c>
      <c r="K1105" s="5"/>
    </row>
    <row r="1106">
      <c r="A1106" s="3" t="s">
        <v>1083</v>
      </c>
      <c r="B1106" s="3" t="s">
        <v>835</v>
      </c>
      <c r="C1106" s="3" t="s">
        <v>1100</v>
      </c>
      <c r="D1106" s="4" t="str">
        <f>HYPERLINK("https://12go.asia/en/travel/chengde-south/beipiao", "12Go Link")</f>
        <v>12Go Link</v>
      </c>
      <c r="E1106" s="3" t="s">
        <v>94</v>
      </c>
      <c r="K1106" s="5"/>
    </row>
    <row r="1107">
      <c r="A1107" s="3" t="s">
        <v>1083</v>
      </c>
      <c r="B1107" s="3" t="s">
        <v>835</v>
      </c>
      <c r="C1107" s="3" t="s">
        <v>1101</v>
      </c>
      <c r="D1107" s="4" t="str">
        <f>HYPERLINK("https://12go.asia/en/travel/chengde-south/liaoning-chaoyang", "12Go Link")</f>
        <v>12Go Link</v>
      </c>
      <c r="E1107" s="3" t="s">
        <v>94</v>
      </c>
      <c r="K1107" s="5"/>
    </row>
    <row r="1108">
      <c r="A1108" s="3" t="s">
        <v>1083</v>
      </c>
      <c r="B1108" s="3" t="s">
        <v>835</v>
      </c>
      <c r="C1108" s="3" t="s">
        <v>1102</v>
      </c>
      <c r="D1108" s="4" t="str">
        <f>HYPERLINK("https://12go.asia/en/travel/chengde/chaoyang-liaoning", "12Go Link")</f>
        <v>12Go Link</v>
      </c>
      <c r="E1108" s="3" t="s">
        <v>94</v>
      </c>
      <c r="K1108" s="5"/>
    </row>
    <row r="1109">
      <c r="A1109" s="3" t="s">
        <v>1083</v>
      </c>
      <c r="B1109" s="3" t="s">
        <v>1089</v>
      </c>
      <c r="C1109" s="3" t="s">
        <v>1103</v>
      </c>
      <c r="D1109" s="4" t="str">
        <f>HYPERLINK("https://12go.asia/en/travel/chengde-south/fuxin", "12Go Link")</f>
        <v>12Go Link</v>
      </c>
      <c r="E1109" s="3" t="s">
        <v>94</v>
      </c>
      <c r="K1109" s="5"/>
    </row>
    <row r="1110">
      <c r="A1110" s="3" t="s">
        <v>1083</v>
      </c>
      <c r="B1110" s="3" t="s">
        <v>1089</v>
      </c>
      <c r="C1110" s="3" t="s">
        <v>1104</v>
      </c>
      <c r="D1110" s="4" t="str">
        <f>HYPERLINK("https://12go.asia/en/travel/chengde/fuxin", "12Go Link")</f>
        <v>12Go Link</v>
      </c>
      <c r="E1110" s="3" t="s">
        <v>94</v>
      </c>
      <c r="K1110" s="5"/>
    </row>
    <row r="1111">
      <c r="A1111" s="3" t="s">
        <v>1083</v>
      </c>
      <c r="B1111" s="3" t="s">
        <v>1105</v>
      </c>
      <c r="C1111" s="3" t="s">
        <v>1106</v>
      </c>
      <c r="D1111" s="4" t="str">
        <f>HYPERLINK("https://12go.asia/en/travel/chengde/liaoning", "12Go Link")</f>
        <v>12Go Link</v>
      </c>
      <c r="E1111" s="3" t="s">
        <v>94</v>
      </c>
      <c r="K1111" s="5"/>
    </row>
    <row r="1112">
      <c r="A1112" s="3" t="s">
        <v>1083</v>
      </c>
      <c r="B1112" s="3" t="s">
        <v>554</v>
      </c>
      <c r="C1112" s="3" t="s">
        <v>1107</v>
      </c>
      <c r="D1112" s="4" t="str">
        <f>HYPERLINK("https://12go.asia/en/travel/chengde-south/shenyang", "12Go Link")</f>
        <v>12Go Link</v>
      </c>
      <c r="E1112" s="3" t="s">
        <v>94</v>
      </c>
      <c r="K1112" s="5"/>
    </row>
    <row r="1113">
      <c r="A1113" s="3" t="s">
        <v>1083</v>
      </c>
      <c r="B1113" s="3" t="s">
        <v>554</v>
      </c>
      <c r="C1113" s="3" t="s">
        <v>1108</v>
      </c>
      <c r="D1113" s="4" t="str">
        <f>HYPERLINK("https://12go.asia/en/travel/chengde-south/shenyang-north", "12Go Link")</f>
        <v>12Go Link</v>
      </c>
      <c r="E1113" s="3" t="s">
        <v>94</v>
      </c>
      <c r="K1113" s="5"/>
    </row>
    <row r="1114">
      <c r="A1114" s="3" t="s">
        <v>1083</v>
      </c>
      <c r="B1114" s="3" t="s">
        <v>554</v>
      </c>
      <c r="C1114" s="3" t="s">
        <v>1109</v>
      </c>
      <c r="D1114" s="4" t="str">
        <f>HYPERLINK("https://12go.asia/en/travel/chengde-south/shenyang-south", "12Go Link")</f>
        <v>12Go Link</v>
      </c>
      <c r="E1114" s="3" t="s">
        <v>94</v>
      </c>
      <c r="K1114" s="5"/>
    </row>
    <row r="1115">
      <c r="A1115" s="3" t="s">
        <v>1083</v>
      </c>
      <c r="B1115" s="3" t="s">
        <v>554</v>
      </c>
      <c r="C1115" s="3" t="s">
        <v>1110</v>
      </c>
      <c r="D1115" s="4" t="str">
        <f>HYPERLINK("https://12go.asia/en/travel/chengde/shenyang", "12Go Link")</f>
        <v>12Go Link</v>
      </c>
      <c r="E1115" s="3" t="s">
        <v>94</v>
      </c>
      <c r="K1115" s="5"/>
    </row>
    <row r="1116">
      <c r="A1116" s="3" t="s">
        <v>1083</v>
      </c>
      <c r="B1116" s="3" t="s">
        <v>1111</v>
      </c>
      <c r="C1116" s="3" t="s">
        <v>1112</v>
      </c>
      <c r="D1116" s="4" t="str">
        <f>HYPERLINK("https://12go.asia/en/travel/chengde-south/tongliao", "12Go Link")</f>
        <v>12Go Link</v>
      </c>
      <c r="E1116" s="3" t="s">
        <v>94</v>
      </c>
      <c r="K1116" s="5"/>
    </row>
    <row r="1117">
      <c r="A1117" s="3" t="s">
        <v>1083</v>
      </c>
      <c r="B1117" s="3" t="s">
        <v>1111</v>
      </c>
      <c r="C1117" s="3" t="s">
        <v>1113</v>
      </c>
      <c r="D1117" s="4" t="str">
        <f>HYPERLINK("https://12go.asia/en/travel/chengde/tongliao", "12Go Link")</f>
        <v>12Go Link</v>
      </c>
      <c r="E1117" s="3" t="s">
        <v>94</v>
      </c>
      <c r="K1117" s="5"/>
    </row>
    <row r="1118">
      <c r="A1118" s="3" t="s">
        <v>841</v>
      </c>
      <c r="B1118" s="3" t="s">
        <v>929</v>
      </c>
      <c r="C1118" s="3" t="s">
        <v>1114</v>
      </c>
      <c r="D1118" s="4" t="str">
        <f>HYPERLINK("https://12go.asia/en/travel/chengdu-east/guanling", "12Go Link")</f>
        <v>12Go Link</v>
      </c>
      <c r="E1118" s="3" t="s">
        <v>94</v>
      </c>
      <c r="K1118" s="5"/>
    </row>
    <row r="1119">
      <c r="A1119" s="3" t="s">
        <v>841</v>
      </c>
      <c r="B1119" s="3" t="s">
        <v>587</v>
      </c>
      <c r="C1119" s="3" t="s">
        <v>1115</v>
      </c>
      <c r="D1119" s="4" t="str">
        <f>HYPERLINK("https://12go.asia/en/travel/chengdu-east/baoding-east", "12Go Link")</f>
        <v>12Go Link</v>
      </c>
      <c r="E1119" s="3" t="s">
        <v>94</v>
      </c>
      <c r="K1119" s="5"/>
    </row>
    <row r="1120">
      <c r="A1120" s="3" t="s">
        <v>841</v>
      </c>
      <c r="B1120" s="3" t="s">
        <v>587</v>
      </c>
      <c r="C1120" s="3" t="s">
        <v>1116</v>
      </c>
      <c r="D1120" s="4" t="str">
        <f>HYPERLINK("https://12go.asia/en/travel/chengdu-west/baoding", "12Go Link")</f>
        <v>12Go Link</v>
      </c>
      <c r="E1120" s="3" t="s">
        <v>94</v>
      </c>
      <c r="K1120" s="5"/>
    </row>
    <row r="1121">
      <c r="A1121" s="3" t="s">
        <v>841</v>
      </c>
      <c r="B1121" s="3" t="s">
        <v>596</v>
      </c>
      <c r="C1121" s="3" t="s">
        <v>1117</v>
      </c>
      <c r="D1121" s="4" t="str">
        <f>HYPERLINK("https://12go.asia/en/travel/chengdu-east/bengbu-south", "12Go Link")</f>
        <v>12Go Link</v>
      </c>
      <c r="E1121" s="3" t="s">
        <v>94</v>
      </c>
      <c r="K1121" s="5"/>
    </row>
    <row r="1122">
      <c r="A1122" s="3" t="s">
        <v>841</v>
      </c>
      <c r="B1122" s="3" t="s">
        <v>596</v>
      </c>
      <c r="C1122" s="3" t="s">
        <v>1118</v>
      </c>
      <c r="D1122" s="4" t="str">
        <f>HYPERLINK("https://12go.asia/en/travel/chengdu-west/bengbu", "12Go Link")</f>
        <v>12Go Link</v>
      </c>
      <c r="E1122" s="3" t="s">
        <v>94</v>
      </c>
      <c r="K1122" s="5"/>
    </row>
    <row r="1123">
      <c r="A1123" s="3" t="s">
        <v>841</v>
      </c>
      <c r="B1123" s="3" t="s">
        <v>596</v>
      </c>
      <c r="C1123" s="3" t="s">
        <v>1119</v>
      </c>
      <c r="D1123" s="4" t="str">
        <f>HYPERLINK("https://12go.asia/en/travel/chengdu/bengbu", "12Go Link")</f>
        <v>12Go Link</v>
      </c>
      <c r="E1123" s="3" t="s">
        <v>94</v>
      </c>
      <c r="K1123" s="5"/>
    </row>
    <row r="1124">
      <c r="A1124" s="3" t="s">
        <v>841</v>
      </c>
      <c r="B1124" s="3" t="s">
        <v>600</v>
      </c>
      <c r="C1124" s="3" t="s">
        <v>1120</v>
      </c>
      <c r="D1124" s="4" t="str">
        <f>HYPERLINK("https://12go.asia/en/travel/chengdu/boluo", "12Go Link")</f>
        <v>12Go Link</v>
      </c>
      <c r="E1124" s="3" t="s">
        <v>94</v>
      </c>
      <c r="K1124" s="5"/>
    </row>
    <row r="1125">
      <c r="A1125" s="3" t="s">
        <v>841</v>
      </c>
      <c r="B1125" s="3" t="s">
        <v>1121</v>
      </c>
      <c r="C1125" s="3" t="s">
        <v>1122</v>
      </c>
      <c r="D1125" s="4" t="str">
        <f>HYPERLINK("https://12go.asia/en/travel/chengdu-east/dazu-south", "12Go Link")</f>
        <v>12Go Link</v>
      </c>
      <c r="E1125" s="3" t="s">
        <v>94</v>
      </c>
      <c r="K1125" s="5"/>
    </row>
    <row r="1126">
      <c r="A1126" s="3" t="s">
        <v>841</v>
      </c>
      <c r="B1126" s="3" t="s">
        <v>1121</v>
      </c>
      <c r="C1126" s="3" t="s">
        <v>1123</v>
      </c>
      <c r="D1126" s="4" t="str">
        <f>HYPERLINK("https://12go.asia/en/travel/chengdu-east/rongchang-north", "12Go Link")</f>
        <v>12Go Link</v>
      </c>
      <c r="E1126" s="3" t="s">
        <v>94</v>
      </c>
      <c r="K1126" s="5"/>
    </row>
    <row r="1127">
      <c r="A1127" s="3" t="s">
        <v>841</v>
      </c>
      <c r="B1127" s="3" t="s">
        <v>1121</v>
      </c>
      <c r="C1127" s="3" t="s">
        <v>1124</v>
      </c>
      <c r="D1127" s="4" t="str">
        <f>HYPERLINK("https://12go.asia/en/travel/chengdu-south/rongchang-north", "12Go Link")</f>
        <v>12Go Link</v>
      </c>
      <c r="E1127" s="3" t="s">
        <v>94</v>
      </c>
      <c r="K1127" s="5"/>
    </row>
    <row r="1128">
      <c r="A1128" s="3" t="s">
        <v>841</v>
      </c>
      <c r="B1128" s="3" t="s">
        <v>1121</v>
      </c>
      <c r="C1128" s="3" t="s">
        <v>1125</v>
      </c>
      <c r="D1128" s="4" t="str">
        <f>HYPERLINK("https://12go.asia/en/travel/chengdu/dazu-chongqing", "12Go Link")</f>
        <v>12Go Link</v>
      </c>
      <c r="E1128" s="3" t="s">
        <v>94</v>
      </c>
      <c r="K1128" s="5"/>
    </row>
    <row r="1129">
      <c r="A1129" s="3" t="s">
        <v>841</v>
      </c>
      <c r="B1129" s="3" t="s">
        <v>609</v>
      </c>
      <c r="C1129" s="3" t="s">
        <v>1126</v>
      </c>
      <c r="D1129" s="4" t="str">
        <f>HYPERLINK("https://12go.asia/en/travel/chengdu/dongcheng-south", "12Go Link")</f>
        <v>12Go Link</v>
      </c>
      <c r="E1129" s="3" t="s">
        <v>94</v>
      </c>
      <c r="K1129" s="5"/>
    </row>
    <row r="1130">
      <c r="A1130" s="3" t="s">
        <v>841</v>
      </c>
      <c r="B1130" s="3" t="s">
        <v>1127</v>
      </c>
      <c r="C1130" s="3" t="s">
        <v>1128</v>
      </c>
      <c r="D1130" s="4" t="str">
        <f>HYPERLINK("https://12go.asia/en/travel/chengdu-east/maoxian", "12Go Link")</f>
        <v>12Go Link</v>
      </c>
      <c r="E1130" s="3" t="s">
        <v>94</v>
      </c>
      <c r="K1130" s="5"/>
    </row>
    <row r="1131">
      <c r="A1131" s="3" t="s">
        <v>841</v>
      </c>
      <c r="B1131" s="3" t="s">
        <v>1129</v>
      </c>
      <c r="C1131" s="3" t="s">
        <v>1130</v>
      </c>
      <c r="D1131" s="4" t="str">
        <f>HYPERLINK("https://12go.asia/en/travel/chengdu/funing", "12Go Link")</f>
        <v>12Go Link</v>
      </c>
      <c r="E1131" s="3" t="s">
        <v>94</v>
      </c>
      <c r="K1131" s="5"/>
    </row>
    <row r="1132">
      <c r="A1132" s="3" t="s">
        <v>841</v>
      </c>
      <c r="B1132" s="3" t="s">
        <v>522</v>
      </c>
      <c r="C1132" s="3" t="s">
        <v>1131</v>
      </c>
      <c r="D1132" s="4" t="str">
        <f>HYPERLINK("https://12go.asia/en/travel/chengdu-east/congjiang", "12Go Link")</f>
        <v>12Go Link</v>
      </c>
      <c r="E1132" s="3" t="s">
        <v>94</v>
      </c>
      <c r="K1132" s="5"/>
    </row>
    <row r="1133">
      <c r="A1133" s="3" t="s">
        <v>841</v>
      </c>
      <c r="B1133" s="3" t="s">
        <v>524</v>
      </c>
      <c r="C1133" s="3" t="s">
        <v>1132</v>
      </c>
      <c r="D1133" s="4" t="str">
        <f>HYPERLINK("https://12go.asia/en/travel/chengdu/guzhang", "12Go Link")</f>
        <v>12Go Link</v>
      </c>
      <c r="E1133" s="3" t="s">
        <v>94</v>
      </c>
      <c r="K1133" s="5"/>
    </row>
    <row r="1134">
      <c r="A1134" s="3" t="s">
        <v>841</v>
      </c>
      <c r="B1134" s="3" t="s">
        <v>1133</v>
      </c>
      <c r="C1134" s="3" t="s">
        <v>1134</v>
      </c>
      <c r="D1134" s="4" t="str">
        <f>HYPERLINK("https://12go.asia/en/travel/chengdu-south/hanzhong", "12Go Link")</f>
        <v>12Go Link</v>
      </c>
      <c r="E1134" s="3" t="s">
        <v>94</v>
      </c>
      <c r="K1134" s="5"/>
    </row>
    <row r="1135">
      <c r="A1135" s="3" t="s">
        <v>841</v>
      </c>
      <c r="B1135" s="3" t="s">
        <v>620</v>
      </c>
      <c r="C1135" s="3" t="s">
        <v>1135</v>
      </c>
      <c r="D1135" s="4" t="str">
        <f>HYPERLINK("https://12go.asia/en/travel/chengdu/hengqin-island", "12Go Link")</f>
        <v>12Go Link</v>
      </c>
      <c r="E1135" s="3" t="s">
        <v>94</v>
      </c>
      <c r="K1135" s="5"/>
    </row>
    <row r="1136">
      <c r="A1136" s="3" t="s">
        <v>841</v>
      </c>
      <c r="B1136" s="3" t="s">
        <v>758</v>
      </c>
      <c r="C1136" s="3" t="s">
        <v>1136</v>
      </c>
      <c r="D1136" s="4" t="str">
        <f>HYPERLINK("https://12go.asia/en/travel/chengdu-east/heze-east-railway-station", "12Go Link")</f>
        <v>12Go Link</v>
      </c>
      <c r="E1136" s="3" t="s">
        <v>94</v>
      </c>
      <c r="K1136" s="5"/>
    </row>
    <row r="1137">
      <c r="A1137" s="3" t="s">
        <v>841</v>
      </c>
      <c r="B1137" s="3" t="s">
        <v>758</v>
      </c>
      <c r="C1137" s="3" t="s">
        <v>1137</v>
      </c>
      <c r="D1137" s="4" t="str">
        <f>HYPERLINK("https://12go.asia/en/travel/chengdu/heze", "12Go Link")</f>
        <v>12Go Link</v>
      </c>
      <c r="E1137" s="3" t="s">
        <v>94</v>
      </c>
      <c r="K1137" s="5"/>
    </row>
    <row r="1138">
      <c r="A1138" s="3" t="s">
        <v>841</v>
      </c>
      <c r="B1138" s="3" t="s">
        <v>624</v>
      </c>
      <c r="C1138" s="3" t="s">
        <v>1138</v>
      </c>
      <c r="D1138" s="4" t="str">
        <f>HYPERLINK("https://12go.asia/en/travel/chengdu/hong-kong-island", "12Go Link")</f>
        <v>12Go Link</v>
      </c>
      <c r="E1138" s="3" t="s">
        <v>94</v>
      </c>
      <c r="K1138" s="5"/>
    </row>
    <row r="1139">
      <c r="A1139" s="3" t="s">
        <v>841</v>
      </c>
      <c r="B1139" s="3" t="s">
        <v>626</v>
      </c>
      <c r="C1139" s="3" t="s">
        <v>1139</v>
      </c>
      <c r="D1139" s="4" t="str">
        <f>HYPERLINK("https://12go.asia/en/travel/chengdu/huade", "12Go Link")</f>
        <v>12Go Link</v>
      </c>
      <c r="E1139" s="3" t="s">
        <v>94</v>
      </c>
      <c r="K1139" s="5"/>
    </row>
    <row r="1140">
      <c r="A1140" s="3" t="s">
        <v>841</v>
      </c>
      <c r="B1140" s="3" t="s">
        <v>1140</v>
      </c>
      <c r="C1140" s="3" t="s">
        <v>1141</v>
      </c>
      <c r="D1140" s="4" t="str">
        <f>HYPERLINK("https://12go.asia/en/travel/chengdu-east/huaian-east", "12Go Link")</f>
        <v>12Go Link</v>
      </c>
      <c r="E1140" s="3" t="s">
        <v>94</v>
      </c>
      <c r="K1140" s="5"/>
    </row>
    <row r="1141">
      <c r="A1141" s="3" t="s">
        <v>841</v>
      </c>
      <c r="B1141" s="3" t="s">
        <v>1140</v>
      </c>
      <c r="C1141" s="3" t="s">
        <v>1142</v>
      </c>
      <c r="D1141" s="4" t="str">
        <f>HYPERLINK("https://12go.asia/en/travel/chengdu/huaian", "12Go Link")</f>
        <v>12Go Link</v>
      </c>
      <c r="E1141" s="3" t="s">
        <v>94</v>
      </c>
      <c r="K1141" s="5"/>
    </row>
    <row r="1142">
      <c r="A1142" s="3" t="s">
        <v>841</v>
      </c>
      <c r="B1142" s="3" t="s">
        <v>632</v>
      </c>
      <c r="C1142" s="3" t="s">
        <v>1143</v>
      </c>
      <c r="D1142" s="4" t="str">
        <f>HYPERLINK("https://12go.asia/en/travel/chengdu-east/guangzhoubaiyun", "12Go Link")</f>
        <v>12Go Link</v>
      </c>
      <c r="E1142" s="3" t="s">
        <v>94</v>
      </c>
      <c r="K1142" s="5"/>
    </row>
    <row r="1143">
      <c r="A1143" s="3" t="s">
        <v>841</v>
      </c>
      <c r="B1143" s="3" t="s">
        <v>632</v>
      </c>
      <c r="C1143" s="3" t="s">
        <v>1144</v>
      </c>
      <c r="D1143" s="4" t="str">
        <f>HYPERLINK("https://12go.asia/en/travel/chengdu/huaxi", "12Go Link")</f>
        <v>12Go Link</v>
      </c>
      <c r="E1143" s="3" t="s">
        <v>94</v>
      </c>
      <c r="K1143" s="5"/>
    </row>
    <row r="1144">
      <c r="A1144" s="3" t="s">
        <v>841</v>
      </c>
      <c r="B1144" s="3" t="s">
        <v>636</v>
      </c>
      <c r="C1144" s="3" t="s">
        <v>1145</v>
      </c>
      <c r="D1144" s="4" t="str">
        <f>HYPERLINK("https://12go.asia/en/travel/chengdu-east/humen", "12Go Link")</f>
        <v>12Go Link</v>
      </c>
      <c r="E1144" s="3" t="s">
        <v>94</v>
      </c>
      <c r="K1144" s="5"/>
    </row>
    <row r="1145">
      <c r="A1145" s="3" t="s">
        <v>841</v>
      </c>
      <c r="B1145" s="3" t="s">
        <v>636</v>
      </c>
      <c r="C1145" s="3" t="s">
        <v>1146</v>
      </c>
      <c r="D1145" s="4" t="str">
        <f>HYPERLINK("https://12go.asia/en/travel/chengdu/humen-town", "12Go Link")</f>
        <v>12Go Link</v>
      </c>
      <c r="E1145" s="3" t="s">
        <v>94</v>
      </c>
      <c r="K1145" s="5"/>
    </row>
    <row r="1146">
      <c r="A1146" s="3" t="s">
        <v>841</v>
      </c>
      <c r="B1146" s="3" t="s">
        <v>639</v>
      </c>
      <c r="C1146" s="3" t="s">
        <v>1147</v>
      </c>
      <c r="D1146" s="4" t="str">
        <f>HYPERLINK("https://12go.asia/en/travel/chengdu/jiangbei", "12Go Link")</f>
        <v>12Go Link</v>
      </c>
      <c r="E1146" s="3" t="s">
        <v>94</v>
      </c>
      <c r="K1146" s="5"/>
    </row>
    <row r="1147">
      <c r="A1147" s="3" t="s">
        <v>841</v>
      </c>
      <c r="B1147" s="3" t="s">
        <v>641</v>
      </c>
      <c r="C1147" s="3" t="s">
        <v>1148</v>
      </c>
      <c r="D1147" s="4" t="str">
        <f>HYPERLINK("https://12go.asia/en/travel/chengdu/jiangjin", "12Go Link")</f>
        <v>12Go Link</v>
      </c>
      <c r="E1147" s="3" t="s">
        <v>94</v>
      </c>
      <c r="K1147" s="5"/>
    </row>
    <row r="1148">
      <c r="A1148" s="3" t="s">
        <v>841</v>
      </c>
      <c r="B1148" s="3" t="s">
        <v>643</v>
      </c>
      <c r="C1148" s="3" t="s">
        <v>1149</v>
      </c>
      <c r="D1148" s="4" t="str">
        <f>HYPERLINK("https://12go.asia/en/travel/chengdu/jiangning", "12Go Link")</f>
        <v>12Go Link</v>
      </c>
      <c r="E1148" s="3" t="s">
        <v>94</v>
      </c>
      <c r="K1148" s="5"/>
    </row>
    <row r="1149">
      <c r="A1149" s="3" t="s">
        <v>841</v>
      </c>
      <c r="B1149" s="3" t="s">
        <v>645</v>
      </c>
      <c r="C1149" s="3" t="s">
        <v>1150</v>
      </c>
      <c r="D1149" s="4" t="str">
        <f>HYPERLINK("https://12go.asia/en/travel/chengdu/jiangxia", "12Go Link")</f>
        <v>12Go Link</v>
      </c>
      <c r="E1149" s="3" t="s">
        <v>94</v>
      </c>
      <c r="K1149" s="5"/>
    </row>
    <row r="1150">
      <c r="A1150" s="3" t="s">
        <v>841</v>
      </c>
      <c r="B1150" s="3" t="s">
        <v>647</v>
      </c>
      <c r="C1150" s="3" t="s">
        <v>1151</v>
      </c>
      <c r="D1150" s="4" t="str">
        <f>HYPERLINK("https://12go.asia/en/travel/chengdu/jiangyuan", "12Go Link")</f>
        <v>12Go Link</v>
      </c>
      <c r="E1150" s="3" t="s">
        <v>94</v>
      </c>
      <c r="K1150" s="5"/>
    </row>
    <row r="1151">
      <c r="A1151" s="3" t="s">
        <v>841</v>
      </c>
      <c r="B1151" s="3" t="s">
        <v>540</v>
      </c>
      <c r="C1151" s="3" t="s">
        <v>1152</v>
      </c>
      <c r="D1151" s="4" t="str">
        <f>HYPERLINK("https://12go.asia/en/travel/chengdu/jiangzhou", "12Go Link")</f>
        <v>12Go Link</v>
      </c>
      <c r="E1151" s="3" t="s">
        <v>94</v>
      </c>
      <c r="K1151" s="5"/>
    </row>
    <row r="1152">
      <c r="A1152" s="3" t="s">
        <v>841</v>
      </c>
      <c r="B1152" s="3" t="s">
        <v>542</v>
      </c>
      <c r="C1152" s="3" t="s">
        <v>1153</v>
      </c>
      <c r="D1152" s="4" t="str">
        <f>HYPERLINK("https://12go.asia/en/travel/chengdu/jiaocheng", "12Go Link")</f>
        <v>12Go Link</v>
      </c>
      <c r="E1152" s="3" t="s">
        <v>94</v>
      </c>
      <c r="K1152" s="5"/>
    </row>
    <row r="1153">
      <c r="A1153" s="3" t="s">
        <v>841</v>
      </c>
      <c r="B1153" s="3" t="s">
        <v>655</v>
      </c>
      <c r="C1153" s="3" t="s">
        <v>1154</v>
      </c>
      <c r="D1153" s="4" t="str">
        <f>HYPERLINK("https://12go.asia/en/travel/chengdu-east/jiangbei-airport", "12Go Link")</f>
        <v>12Go Link</v>
      </c>
      <c r="E1153" s="3" t="s">
        <v>94</v>
      </c>
      <c r="K1153" s="5"/>
    </row>
    <row r="1154">
      <c r="A1154" s="3" t="s">
        <v>841</v>
      </c>
      <c r="B1154" s="3" t="s">
        <v>655</v>
      </c>
      <c r="C1154" s="3" t="s">
        <v>1155</v>
      </c>
      <c r="D1154" s="4" t="str">
        <f>HYPERLINK("https://12go.asia/en/travel/chengdu-south/jiangbei-airport", "12Go Link")</f>
        <v>12Go Link</v>
      </c>
      <c r="E1154" s="3" t="s">
        <v>94</v>
      </c>
      <c r="K1154" s="5"/>
    </row>
    <row r="1155">
      <c r="A1155" s="3" t="s">
        <v>841</v>
      </c>
      <c r="B1155" s="3" t="s">
        <v>655</v>
      </c>
      <c r="C1155" s="3" t="s">
        <v>1156</v>
      </c>
      <c r="D1155" s="4" t="str">
        <f>HYPERLINK("https://12go.asia/en/travel/chengdu/jiaxiang", "12Go Link")</f>
        <v>12Go Link</v>
      </c>
      <c r="E1155" s="3" t="s">
        <v>94</v>
      </c>
      <c r="K1155" s="5"/>
    </row>
    <row r="1156">
      <c r="A1156" s="3" t="s">
        <v>841</v>
      </c>
      <c r="B1156" s="3" t="s">
        <v>1157</v>
      </c>
      <c r="C1156" s="3" t="s">
        <v>1158</v>
      </c>
      <c r="D1156" s="4" t="str">
        <f>HYPERLINK("https://12go.asia/en/travel/chengdu-east/jiaxing-south", "12Go Link")</f>
        <v>12Go Link</v>
      </c>
      <c r="E1156" s="3" t="s">
        <v>94</v>
      </c>
      <c r="K1156" s="5"/>
    </row>
    <row r="1157">
      <c r="A1157" s="3" t="s">
        <v>841</v>
      </c>
      <c r="B1157" s="3" t="s">
        <v>1157</v>
      </c>
      <c r="C1157" s="3" t="s">
        <v>1159</v>
      </c>
      <c r="D1157" s="4" t="str">
        <f>HYPERLINK("https://12go.asia/en/travel/chengdu-west/jiaxing", "12Go Link")</f>
        <v>12Go Link</v>
      </c>
      <c r="E1157" s="3" t="s">
        <v>94</v>
      </c>
      <c r="K1157" s="5"/>
    </row>
    <row r="1158">
      <c r="A1158" s="3" t="s">
        <v>841</v>
      </c>
      <c r="B1158" s="3" t="s">
        <v>1157</v>
      </c>
      <c r="C1158" s="3" t="s">
        <v>1160</v>
      </c>
      <c r="D1158" s="4" t="str">
        <f>HYPERLINK("https://12go.asia/en/travel/chengdu/jiaxing", "12Go Link")</f>
        <v>12Go Link</v>
      </c>
      <c r="E1158" s="3" t="s">
        <v>94</v>
      </c>
      <c r="K1158" s="5"/>
    </row>
    <row r="1159">
      <c r="A1159" s="3" t="s">
        <v>841</v>
      </c>
      <c r="B1159" s="3" t="s">
        <v>975</v>
      </c>
      <c r="C1159" s="3" t="s">
        <v>1161</v>
      </c>
      <c r="D1159" s="4" t="str">
        <f>HYPERLINK("https://12go.asia/en/travel/chengdu-east/qianwei", "12Go Link")</f>
        <v>12Go Link</v>
      </c>
      <c r="E1159" s="3" t="s">
        <v>94</v>
      </c>
      <c r="K1159" s="5"/>
    </row>
    <row r="1160">
      <c r="A1160" s="3" t="s">
        <v>841</v>
      </c>
      <c r="B1160" s="3" t="s">
        <v>975</v>
      </c>
      <c r="C1160" s="3" t="s">
        <v>1162</v>
      </c>
      <c r="D1160" s="4" t="str">
        <f>HYPERLINK("https://12go.asia/en/travel/chengdu-south/qianwei", "12Go Link")</f>
        <v>12Go Link</v>
      </c>
      <c r="E1160" s="3" t="s">
        <v>94</v>
      </c>
      <c r="K1160" s="5"/>
    </row>
    <row r="1161">
      <c r="A1161" s="3" t="s">
        <v>841</v>
      </c>
      <c r="B1161" s="3" t="s">
        <v>978</v>
      </c>
      <c r="C1161" s="3" t="s">
        <v>1163</v>
      </c>
      <c r="D1161" s="4" t="str">
        <f>HYPERLINK("https://12go.asia/en/travel/chengdu-south/liupanshuidong", "12Go Link")</f>
        <v>12Go Link</v>
      </c>
      <c r="E1161" s="3" t="s">
        <v>94</v>
      </c>
      <c r="K1161" s="5"/>
    </row>
    <row r="1162">
      <c r="A1162" s="3" t="s">
        <v>841</v>
      </c>
      <c r="B1162" s="3" t="s">
        <v>674</v>
      </c>
      <c r="C1162" s="3" t="s">
        <v>1164</v>
      </c>
      <c r="D1162" s="4" t="str">
        <f>HYPERLINK("https://12go.asia/en/travel/chengdu-east/maoming", "12Go Link")</f>
        <v>12Go Link</v>
      </c>
      <c r="E1162" s="3" t="s">
        <v>94</v>
      </c>
      <c r="K1162" s="5"/>
    </row>
    <row r="1163">
      <c r="A1163" s="3" t="s">
        <v>841</v>
      </c>
      <c r="B1163" s="3" t="s">
        <v>679</v>
      </c>
      <c r="C1163" s="3" t="s">
        <v>1165</v>
      </c>
      <c r="D1163" s="4" t="str">
        <f>HYPERLINK("https://12go.asia/en/travel/chengdu/mingxi", "12Go Link")</f>
        <v>12Go Link</v>
      </c>
      <c r="E1163" s="3" t="s">
        <v>94</v>
      </c>
      <c r="K1163" s="5"/>
    </row>
    <row r="1164">
      <c r="A1164" s="3" t="s">
        <v>841</v>
      </c>
      <c r="B1164" s="3" t="s">
        <v>914</v>
      </c>
      <c r="C1164" s="3" t="s">
        <v>1166</v>
      </c>
      <c r="D1164" s="4" t="str">
        <f>HYPERLINK("https://12go.asia/en/travel/chengdu/pujiangzhen", "12Go Link")</f>
        <v>12Go Link</v>
      </c>
      <c r="E1164" s="3" t="s">
        <v>94</v>
      </c>
      <c r="K1164" s="5"/>
    </row>
    <row r="1165">
      <c r="A1165" s="3" t="s">
        <v>841</v>
      </c>
      <c r="B1165" s="3" t="s">
        <v>548</v>
      </c>
      <c r="C1165" s="3" t="s">
        <v>1167</v>
      </c>
      <c r="D1165" s="4" t="str">
        <f>HYPERLINK("https://12go.asia/en/travel/chengdu/qinghai", "12Go Link")</f>
        <v>12Go Link</v>
      </c>
      <c r="E1165" s="3" t="s">
        <v>94</v>
      </c>
      <c r="K1165" s="5"/>
    </row>
    <row r="1166">
      <c r="A1166" s="3" t="s">
        <v>841</v>
      </c>
      <c r="B1166" s="3" t="s">
        <v>1168</v>
      </c>
      <c r="C1166" s="3" t="s">
        <v>1169</v>
      </c>
      <c r="D1166" s="4" t="str">
        <f>HYPERLINK("https://12go.asia/en/travel/chengdu-east/qinhuangdao", "12Go Link")</f>
        <v>12Go Link</v>
      </c>
      <c r="E1166" s="3" t="s">
        <v>94</v>
      </c>
      <c r="K1166" s="5"/>
    </row>
    <row r="1167">
      <c r="A1167" s="3" t="s">
        <v>841</v>
      </c>
      <c r="B1167" s="3" t="s">
        <v>1168</v>
      </c>
      <c r="C1167" s="3" t="s">
        <v>1170</v>
      </c>
      <c r="D1167" s="4" t="str">
        <f>HYPERLINK("https://12go.asia/en/travel/chengdu-west/qinhuangdao", "12Go Link")</f>
        <v>12Go Link</v>
      </c>
      <c r="E1167" s="3" t="s">
        <v>94</v>
      </c>
      <c r="K1167" s="5"/>
    </row>
    <row r="1168">
      <c r="A1168" s="3" t="s">
        <v>841</v>
      </c>
      <c r="B1168" s="3" t="s">
        <v>1168</v>
      </c>
      <c r="C1168" s="3" t="s">
        <v>1171</v>
      </c>
      <c r="D1168" s="4" t="str">
        <f>HYPERLINK("https://12go.asia/en/travel/chengdu/qinhuangdao", "12Go Link")</f>
        <v>12Go Link</v>
      </c>
      <c r="E1168" s="3" t="s">
        <v>94</v>
      </c>
      <c r="K1168" s="5"/>
    </row>
    <row r="1169">
      <c r="A1169" s="3" t="s">
        <v>841</v>
      </c>
      <c r="B1169" s="3" t="s">
        <v>772</v>
      </c>
      <c r="C1169" s="3" t="s">
        <v>1172</v>
      </c>
      <c r="D1169" s="4" t="str">
        <f>HYPERLINK("https://12go.asia/en/travel/chengdu-west/qiqihar", "12Go Link")</f>
        <v>12Go Link</v>
      </c>
      <c r="E1169" s="3" t="s">
        <v>94</v>
      </c>
      <c r="K1169" s="5"/>
    </row>
    <row r="1170">
      <c r="A1170" s="3" t="s">
        <v>841</v>
      </c>
      <c r="B1170" s="3" t="s">
        <v>772</v>
      </c>
      <c r="C1170" s="3" t="s">
        <v>1173</v>
      </c>
      <c r="D1170" s="4" t="str">
        <f>HYPERLINK("https://12go.asia/en/travel/chengdu/qiqihar", "12Go Link")</f>
        <v>12Go Link</v>
      </c>
      <c r="E1170" s="3" t="s">
        <v>94</v>
      </c>
      <c r="K1170" s="5"/>
    </row>
    <row r="1171">
      <c r="A1171" s="3" t="s">
        <v>841</v>
      </c>
      <c r="B1171" s="3" t="s">
        <v>1174</v>
      </c>
      <c r="C1171" s="3" t="s">
        <v>1175</v>
      </c>
      <c r="D1171" s="4" t="str">
        <f>HYPERLINK("https://12go.asia/en/travel/chengdu-east/quzhou", "12Go Link")</f>
        <v>12Go Link</v>
      </c>
      <c r="E1171" s="3" t="s">
        <v>94</v>
      </c>
      <c r="K1171" s="5"/>
    </row>
    <row r="1172">
      <c r="A1172" s="3" t="s">
        <v>841</v>
      </c>
      <c r="B1172" s="3" t="s">
        <v>1174</v>
      </c>
      <c r="C1172" s="3" t="s">
        <v>1176</v>
      </c>
      <c r="D1172" s="4" t="str">
        <f>HYPERLINK("https://12go.asia/en/travel/chengdu-west/quzhou", "12Go Link")</f>
        <v>12Go Link</v>
      </c>
      <c r="E1172" s="3" t="s">
        <v>94</v>
      </c>
      <c r="K1172" s="5"/>
    </row>
    <row r="1173">
      <c r="A1173" s="3" t="s">
        <v>841</v>
      </c>
      <c r="B1173" s="3" t="s">
        <v>1174</v>
      </c>
      <c r="C1173" s="3" t="s">
        <v>1177</v>
      </c>
      <c r="D1173" s="4" t="str">
        <f>HYPERLINK("https://12go.asia/en/travel/chengdu/quzhou", "12Go Link")</f>
        <v>12Go Link</v>
      </c>
      <c r="E1173" s="3" t="s">
        <v>94</v>
      </c>
      <c r="K1173" s="5"/>
    </row>
    <row r="1174">
      <c r="A1174" s="3" t="s">
        <v>841</v>
      </c>
      <c r="B1174" s="3" t="s">
        <v>1178</v>
      </c>
      <c r="C1174" s="3" t="s">
        <v>1179</v>
      </c>
      <c r="D1174" s="4" t="str">
        <f>HYPERLINK("https://12go.asia/en/travel/chengdu-east/shapingba", "12Go Link")</f>
        <v>12Go Link</v>
      </c>
      <c r="E1174" s="3" t="s">
        <v>94</v>
      </c>
      <c r="K1174" s="5"/>
    </row>
    <row r="1175">
      <c r="A1175" s="3" t="s">
        <v>841</v>
      </c>
      <c r="B1175" s="3" t="s">
        <v>1178</v>
      </c>
      <c r="C1175" s="3" t="s">
        <v>1180</v>
      </c>
      <c r="D1175" s="4" t="str">
        <f>HYPERLINK("https://12go.asia/en/travel/chengdu-south/shapingba", "12Go Link")</f>
        <v>12Go Link</v>
      </c>
      <c r="E1175" s="3" t="s">
        <v>94</v>
      </c>
      <c r="K1175" s="5"/>
    </row>
    <row r="1176">
      <c r="A1176" s="3" t="s">
        <v>841</v>
      </c>
      <c r="B1176" s="3" t="s">
        <v>1178</v>
      </c>
      <c r="C1176" s="3" t="s">
        <v>1181</v>
      </c>
      <c r="D1176" s="4" t="str">
        <f>HYPERLINK("https://12go.asia/en/travel/chengdu/ruichang", "12Go Link")</f>
        <v>12Go Link</v>
      </c>
      <c r="E1176" s="3" t="s">
        <v>94</v>
      </c>
      <c r="K1176" s="5"/>
    </row>
    <row r="1177">
      <c r="A1177" s="3" t="s">
        <v>841</v>
      </c>
      <c r="B1177" s="3" t="s">
        <v>550</v>
      </c>
      <c r="C1177" s="3" t="s">
        <v>1182</v>
      </c>
      <c r="D1177" s="4" t="str">
        <f>HYPERLINK("https://12go.asia/en/travel/chengdu/saihan", "12Go Link")</f>
        <v>12Go Link</v>
      </c>
      <c r="E1177" s="3" t="s">
        <v>94</v>
      </c>
      <c r="K1177" s="5"/>
    </row>
    <row r="1178">
      <c r="A1178" s="3" t="s">
        <v>841</v>
      </c>
      <c r="B1178" s="3" t="s">
        <v>1183</v>
      </c>
      <c r="C1178" s="3" t="s">
        <v>1184</v>
      </c>
      <c r="D1178" s="4" t="str">
        <f>HYPERLINK("https://12go.asia/en/travel/chengdu-east/neijiang-east", "12Go Link")</f>
        <v>12Go Link</v>
      </c>
      <c r="E1178" s="3" t="s">
        <v>94</v>
      </c>
      <c r="K1178" s="5"/>
    </row>
    <row r="1179">
      <c r="A1179" s="3" t="s">
        <v>841</v>
      </c>
      <c r="B1179" s="3" t="s">
        <v>1183</v>
      </c>
      <c r="C1179" s="3" t="s">
        <v>1185</v>
      </c>
      <c r="D1179" s="4" t="str">
        <f>HYPERLINK("https://12go.asia/en/travel/chengdu-south/neijiang-east", "12Go Link")</f>
        <v>12Go Link</v>
      </c>
      <c r="E1179" s="3" t="s">
        <v>94</v>
      </c>
      <c r="K1179" s="5"/>
    </row>
    <row r="1180">
      <c r="A1180" s="3" t="s">
        <v>841</v>
      </c>
      <c r="B1180" s="3" t="s">
        <v>1183</v>
      </c>
      <c r="C1180" s="3" t="s">
        <v>1186</v>
      </c>
      <c r="D1180" s="4" t="str">
        <f>HYPERLINK("https://12go.asia/en/travel/chengdu/shizhong", "12Go Link")</f>
        <v>12Go Link</v>
      </c>
      <c r="E1180" s="3" t="s">
        <v>94</v>
      </c>
      <c r="K1180" s="5"/>
    </row>
    <row r="1181">
      <c r="A1181" s="3" t="s">
        <v>841</v>
      </c>
      <c r="B1181" s="3" t="s">
        <v>560</v>
      </c>
      <c r="C1181" s="3" t="s">
        <v>1187</v>
      </c>
      <c r="D1181" s="4" t="str">
        <f>HYPERLINK("https://12go.asia/en/travel/chengdu/shuangliu", "12Go Link")</f>
        <v>12Go Link</v>
      </c>
      <c r="E1181" s="3" t="s">
        <v>94</v>
      </c>
      <c r="K1181" s="5"/>
    </row>
    <row r="1182">
      <c r="A1182" s="3" t="s">
        <v>841</v>
      </c>
      <c r="B1182" s="3" t="s">
        <v>562</v>
      </c>
      <c r="C1182" s="3" t="s">
        <v>1188</v>
      </c>
      <c r="D1182" s="4" t="str">
        <f>HYPERLINK("https://12go.asia/en/travel/chengdu-east/longdongbao", "12Go Link")</f>
        <v>12Go Link</v>
      </c>
      <c r="E1182" s="3" t="s">
        <v>94</v>
      </c>
      <c r="K1182" s="5"/>
    </row>
    <row r="1183">
      <c r="A1183" s="3" t="s">
        <v>841</v>
      </c>
      <c r="B1183" s="3" t="s">
        <v>917</v>
      </c>
      <c r="C1183" s="3" t="s">
        <v>1189</v>
      </c>
      <c r="D1183" s="4" t="str">
        <f>HYPERLINK("https://12go.asia/en/travel/chengdu-west/songjiang-north", "12Go Link")</f>
        <v>12Go Link</v>
      </c>
      <c r="E1183" s="3" t="s">
        <v>94</v>
      </c>
      <c r="K1183" s="5"/>
    </row>
    <row r="1184">
      <c r="A1184" s="3" t="s">
        <v>841</v>
      </c>
      <c r="B1184" s="3" t="s">
        <v>917</v>
      </c>
      <c r="C1184" s="3" t="s">
        <v>1190</v>
      </c>
      <c r="D1184" s="4" t="str">
        <f>HYPERLINK("https://12go.asia/en/travel/chengdu/songjiang-shanghai", "12Go Link")</f>
        <v>12Go Link</v>
      </c>
      <c r="E1184" s="3" t="s">
        <v>94</v>
      </c>
      <c r="K1184" s="5"/>
    </row>
    <row r="1185">
      <c r="A1185" s="3" t="s">
        <v>841</v>
      </c>
      <c r="B1185" s="3" t="s">
        <v>883</v>
      </c>
      <c r="C1185" s="3" t="s">
        <v>1191</v>
      </c>
      <c r="D1185" s="4" t="str">
        <f>HYPERLINK("https://12go.asia/en/travel/chengdu/taian", "12Go Link")</f>
        <v>12Go Link</v>
      </c>
      <c r="E1185" s="3" t="s">
        <v>94</v>
      </c>
      <c r="K1185" s="5"/>
    </row>
    <row r="1186">
      <c r="A1186" s="3" t="s">
        <v>841</v>
      </c>
      <c r="B1186" s="3" t="s">
        <v>564</v>
      </c>
      <c r="C1186" s="3" t="s">
        <v>1192</v>
      </c>
      <c r="D1186" s="4" t="str">
        <f>HYPERLINK("https://12go.asia/en/travel/chengdu/tianxin", "12Go Link")</f>
        <v>12Go Link</v>
      </c>
      <c r="E1186" s="3" t="s">
        <v>94</v>
      </c>
      <c r="K1186" s="5"/>
    </row>
    <row r="1187">
      <c r="A1187" s="3" t="s">
        <v>841</v>
      </c>
      <c r="B1187" s="3" t="s">
        <v>703</v>
      </c>
      <c r="C1187" s="3" t="s">
        <v>1193</v>
      </c>
      <c r="D1187" s="4" t="str">
        <f>HYPERLINK("https://12go.asia/en/travel/chengdu-west/turpan-north", "12Go Link")</f>
        <v>12Go Link</v>
      </c>
      <c r="E1187" s="3" t="s">
        <v>94</v>
      </c>
      <c r="K1187" s="5"/>
    </row>
    <row r="1188">
      <c r="A1188" s="3" t="s">
        <v>841</v>
      </c>
      <c r="B1188" s="3" t="s">
        <v>703</v>
      </c>
      <c r="C1188" s="3" t="s">
        <v>1194</v>
      </c>
      <c r="D1188" s="4" t="str">
        <f>HYPERLINK("https://12go.asia/en/travel/chengdu/turpan", "12Go Link")</f>
        <v>12Go Link</v>
      </c>
      <c r="E1188" s="3" t="s">
        <v>94</v>
      </c>
      <c r="K1188" s="5"/>
    </row>
    <row r="1189">
      <c r="A1189" s="3" t="s">
        <v>841</v>
      </c>
      <c r="B1189" s="3" t="s">
        <v>1195</v>
      </c>
      <c r="C1189" s="3" t="s">
        <v>1196</v>
      </c>
      <c r="D1189" s="4" t="str">
        <f>HYPERLINK("https://12go.asia/en/travel/chengdu-east/nanning-north", "12Go Link")</f>
        <v>12Go Link</v>
      </c>
      <c r="E1189" s="3" t="s">
        <v>94</v>
      </c>
      <c r="K1189" s="5"/>
    </row>
    <row r="1190">
      <c r="A1190" s="3" t="s">
        <v>841</v>
      </c>
      <c r="B1190" s="3" t="s">
        <v>1195</v>
      </c>
      <c r="C1190" s="3" t="s">
        <v>1197</v>
      </c>
      <c r="D1190" s="4" t="str">
        <f>HYPERLINK("https://12go.asia/en/travel/chengdu/wuming", "12Go Link")</f>
        <v>12Go Link</v>
      </c>
      <c r="E1190" s="3" t="s">
        <v>94</v>
      </c>
      <c r="K1190" s="5"/>
    </row>
    <row r="1191">
      <c r="A1191" s="3" t="s">
        <v>841</v>
      </c>
      <c r="B1191" s="3" t="s">
        <v>712</v>
      </c>
      <c r="C1191" s="3" t="s">
        <v>1198</v>
      </c>
      <c r="D1191" s="4" t="str">
        <f>HYPERLINK("https://12go.asia/en/travel/chengdu/xihu", "12Go Link")</f>
        <v>12Go Link</v>
      </c>
      <c r="E1191" s="3" t="s">
        <v>94</v>
      </c>
      <c r="K1191" s="5"/>
    </row>
    <row r="1192">
      <c r="A1192" s="3" t="s">
        <v>841</v>
      </c>
      <c r="B1192" s="3" t="s">
        <v>573</v>
      </c>
      <c r="C1192" s="3" t="s">
        <v>1199</v>
      </c>
      <c r="D1192" s="4" t="str">
        <f>HYPERLINK("https://12go.asia/en/travel/chengdu/xinyi", "12Go Link")</f>
        <v>12Go Link</v>
      </c>
      <c r="E1192" s="3" t="s">
        <v>94</v>
      </c>
      <c r="K1192" s="5"/>
    </row>
    <row r="1193">
      <c r="A1193" s="3" t="s">
        <v>841</v>
      </c>
      <c r="B1193" s="3" t="s">
        <v>575</v>
      </c>
      <c r="C1193" s="3" t="s">
        <v>1200</v>
      </c>
      <c r="D1193" s="4" t="str">
        <f>HYPERLINK("https://12go.asia/en/travel/chengdu/xishui", "12Go Link")</f>
        <v>12Go Link</v>
      </c>
      <c r="E1193" s="3" t="s">
        <v>94</v>
      </c>
      <c r="K1193" s="5"/>
    </row>
    <row r="1194">
      <c r="A1194" s="3" t="s">
        <v>841</v>
      </c>
      <c r="B1194" s="3" t="s">
        <v>720</v>
      </c>
      <c r="C1194" s="3" t="s">
        <v>1201</v>
      </c>
      <c r="D1194" s="4" t="str">
        <f>HYPERLINK("https://12go.asia/en/travel/chengdu/yangchun", "12Go Link")</f>
        <v>12Go Link</v>
      </c>
      <c r="E1194" s="3" t="s">
        <v>94</v>
      </c>
      <c r="K1194" s="5"/>
    </row>
    <row r="1195">
      <c r="A1195" s="3" t="s">
        <v>841</v>
      </c>
      <c r="B1195" s="3" t="s">
        <v>1202</v>
      </c>
      <c r="C1195" s="3" t="s">
        <v>1203</v>
      </c>
      <c r="D1195" s="4" t="str">
        <f>HYPERLINK("https://12go.asia/en/travel/chengdu-east/yichun-jiangxi", "12Go Link")</f>
        <v>12Go Link</v>
      </c>
      <c r="E1195" s="3" t="s">
        <v>94</v>
      </c>
      <c r="K1195" s="5"/>
    </row>
    <row r="1196">
      <c r="A1196" s="3" t="s">
        <v>841</v>
      </c>
      <c r="B1196" s="3" t="s">
        <v>1202</v>
      </c>
      <c r="C1196" s="3" t="s">
        <v>1204</v>
      </c>
      <c r="D1196" s="4" t="str">
        <f>HYPERLINK("https://12go.asia/en/travel/chengdu/yichun-jiangxi", "12Go Link")</f>
        <v>12Go Link</v>
      </c>
      <c r="E1196" s="3" t="s">
        <v>94</v>
      </c>
      <c r="K1196" s="5"/>
    </row>
    <row r="1197">
      <c r="A1197" s="3" t="s">
        <v>841</v>
      </c>
      <c r="B1197" s="3" t="s">
        <v>585</v>
      </c>
      <c r="C1197" s="3" t="s">
        <v>1205</v>
      </c>
      <c r="D1197" s="4" t="str">
        <f>HYPERLINK("https://12go.asia/en/travel/chengdu-east/zhengzhou-hangkonggang", "12Go Link")</f>
        <v>12Go Link</v>
      </c>
      <c r="E1197" s="3" t="s">
        <v>94</v>
      </c>
      <c r="K1197" s="5"/>
    </row>
    <row r="1198">
      <c r="A1198" s="3" t="s">
        <v>841</v>
      </c>
      <c r="B1198" s="3" t="s">
        <v>724</v>
      </c>
      <c r="C1198" s="3" t="s">
        <v>1206</v>
      </c>
      <c r="D1198" s="4" t="str">
        <f>HYPERLINK("https://12go.asia/en/travel/chengdu-west/zhongwei", "12Go Link")</f>
        <v>12Go Link</v>
      </c>
      <c r="E1198" s="3" t="s">
        <v>94</v>
      </c>
      <c r="K1198" s="5"/>
    </row>
    <row r="1199">
      <c r="A1199" s="3" t="s">
        <v>841</v>
      </c>
      <c r="B1199" s="3" t="s">
        <v>724</v>
      </c>
      <c r="C1199" s="3" t="s">
        <v>1207</v>
      </c>
      <c r="D1199" s="4" t="str">
        <f>HYPERLINK("https://12go.asia/en/travel/chengdu/zhongwei", "12Go Link")</f>
        <v>12Go Link</v>
      </c>
      <c r="E1199" s="3" t="s">
        <v>94</v>
      </c>
      <c r="K1199" s="5"/>
    </row>
    <row r="1200">
      <c r="A1200" s="3" t="s">
        <v>1208</v>
      </c>
      <c r="B1200" s="3" t="s">
        <v>1209</v>
      </c>
      <c r="C1200" s="3" t="s">
        <v>1210</v>
      </c>
      <c r="D1200" s="4" t="str">
        <f>HYPERLINK("https://12go.asia/en/travel/chengdu-airport/guangyuan", "12Go Link")</f>
        <v>12Go Link</v>
      </c>
      <c r="E1200" s="3" t="s">
        <v>94</v>
      </c>
      <c r="K1200" s="5"/>
    </row>
    <row r="1201">
      <c r="A1201" s="3" t="s">
        <v>1208</v>
      </c>
      <c r="B1201" s="3" t="s">
        <v>1209</v>
      </c>
      <c r="C1201" s="3" t="s">
        <v>1211</v>
      </c>
      <c r="D1201" s="4" t="str">
        <f>HYPERLINK("https://12go.asia/en/travel/shuangliu-airport/jianmenguan", "12Go Link")</f>
        <v>12Go Link</v>
      </c>
      <c r="E1201" s="3" t="s">
        <v>94</v>
      </c>
      <c r="K1201" s="5"/>
    </row>
    <row r="1202">
      <c r="A1202" s="3" t="s">
        <v>1208</v>
      </c>
      <c r="B1202" s="3" t="s">
        <v>1209</v>
      </c>
      <c r="C1202" s="3" t="s">
        <v>1212</v>
      </c>
      <c r="D1202" s="4" t="str">
        <f>HYPERLINK("https://12go.asia/en/travel/shuangliu-airport/qingchuan", "12Go Link")</f>
        <v>12Go Link</v>
      </c>
      <c r="E1202" s="3" t="s">
        <v>94</v>
      </c>
      <c r="K1202" s="5"/>
    </row>
    <row r="1203">
      <c r="A1203" s="3" t="s">
        <v>1208</v>
      </c>
      <c r="B1203" s="3" t="s">
        <v>524</v>
      </c>
      <c r="C1203" s="3" t="s">
        <v>1213</v>
      </c>
      <c r="D1203" s="4" t="str">
        <f>HYPERLINK("https://12go.asia/en/travel/chengdu-airport/guzhang", "12Go Link")</f>
        <v>12Go Link</v>
      </c>
      <c r="E1203" s="3" t="s">
        <v>94</v>
      </c>
      <c r="K1203" s="5"/>
    </row>
    <row r="1204">
      <c r="A1204" s="3" t="s">
        <v>1208</v>
      </c>
      <c r="B1204" s="3" t="s">
        <v>1133</v>
      </c>
      <c r="C1204" s="3" t="s">
        <v>1214</v>
      </c>
      <c r="D1204" s="4" t="str">
        <f>HYPERLINK("https://12go.asia/en/travel/chengdu-airport/hanzhong", "12Go Link")</f>
        <v>12Go Link</v>
      </c>
      <c r="E1204" s="3" t="s">
        <v>94</v>
      </c>
      <c r="K1204" s="5"/>
    </row>
    <row r="1205">
      <c r="A1205" s="3" t="s">
        <v>1208</v>
      </c>
      <c r="B1205" s="3" t="s">
        <v>655</v>
      </c>
      <c r="C1205" s="3" t="s">
        <v>1215</v>
      </c>
      <c r="D1205" s="4" t="str">
        <f>HYPERLINK("https://12go.asia/en/travel/chengdu-airport/jiaxiang", "12Go Link")</f>
        <v>12Go Link</v>
      </c>
      <c r="E1205" s="3" t="s">
        <v>94</v>
      </c>
      <c r="K1205" s="5"/>
    </row>
    <row r="1206">
      <c r="A1206" s="3" t="s">
        <v>1208</v>
      </c>
      <c r="B1206" s="3" t="s">
        <v>655</v>
      </c>
      <c r="C1206" s="3" t="s">
        <v>1216</v>
      </c>
      <c r="D1206" s="4" t="str">
        <f>HYPERLINK("https://12go.asia/en/travel/shuangliu-airport/jiangbei-airport", "12Go Link")</f>
        <v>12Go Link</v>
      </c>
      <c r="E1206" s="3" t="s">
        <v>94</v>
      </c>
      <c r="K1206" s="5"/>
    </row>
    <row r="1207">
      <c r="A1207" s="3" t="s">
        <v>1208</v>
      </c>
      <c r="B1207" s="3" t="s">
        <v>1217</v>
      </c>
      <c r="C1207" s="3" t="s">
        <v>1218</v>
      </c>
      <c r="D1207" s="4" t="str">
        <f>HYPERLINK("https://12go.asia/en/travel/chengdu-airport/longchang", "12Go Link")</f>
        <v>12Go Link</v>
      </c>
      <c r="E1207" s="3" t="s">
        <v>94</v>
      </c>
      <c r="K1207" s="5"/>
    </row>
    <row r="1208">
      <c r="A1208" s="3" t="s">
        <v>1208</v>
      </c>
      <c r="B1208" s="3" t="s">
        <v>1217</v>
      </c>
      <c r="C1208" s="3" t="s">
        <v>1219</v>
      </c>
      <c r="D1208" s="4" t="str">
        <f>HYPERLINK("https://12go.asia/en/travel/shuangliu-airport/longchang-north", "12Go Link")</f>
        <v>12Go Link</v>
      </c>
      <c r="E1208" s="3" t="s">
        <v>94</v>
      </c>
      <c r="K1208" s="5"/>
    </row>
    <row r="1209">
      <c r="A1209" s="3" t="s">
        <v>1208</v>
      </c>
      <c r="B1209" s="3" t="s">
        <v>1220</v>
      </c>
      <c r="C1209" s="3" t="s">
        <v>1221</v>
      </c>
      <c r="D1209" s="4" t="str">
        <f>HYPERLINK("https://12go.asia/en/travel/chengdu-airport/quanzhou", "12Go Link")</f>
        <v>12Go Link</v>
      </c>
      <c r="E1209" s="3" t="s">
        <v>94</v>
      </c>
      <c r="K1209" s="5"/>
    </row>
    <row r="1210">
      <c r="A1210" s="3" t="s">
        <v>1208</v>
      </c>
      <c r="B1210" s="3" t="s">
        <v>1220</v>
      </c>
      <c r="C1210" s="3" t="s">
        <v>1222</v>
      </c>
      <c r="D1210" s="4" t="str">
        <f>HYPERLINK("https://12go.asia/en/travel/shuangliu-airport/qingyang", "12Go Link")</f>
        <v>12Go Link</v>
      </c>
      <c r="E1210" s="3" t="s">
        <v>94</v>
      </c>
      <c r="K1210" s="5"/>
    </row>
    <row r="1211">
      <c r="A1211" s="3" t="s">
        <v>1208</v>
      </c>
      <c r="B1211" s="3" t="s">
        <v>550</v>
      </c>
      <c r="C1211" s="3" t="s">
        <v>1223</v>
      </c>
      <c r="D1211" s="4" t="str">
        <f>HYPERLINK("https://12go.asia/en/travel/chengdu-airport/saihan", "12Go Link")</f>
        <v>12Go Link</v>
      </c>
      <c r="E1211" s="3" t="s">
        <v>94</v>
      </c>
      <c r="K1211" s="5"/>
    </row>
    <row r="1212">
      <c r="A1212" s="3" t="s">
        <v>1208</v>
      </c>
      <c r="B1212" s="3" t="s">
        <v>560</v>
      </c>
      <c r="C1212" s="3" t="s">
        <v>1224</v>
      </c>
      <c r="D1212" s="4" t="str">
        <f>HYPERLINK("https://12go.asia/en/travel/chengdu-airport/shuangliu", "12Go Link")</f>
        <v>12Go Link</v>
      </c>
      <c r="E1212" s="3" t="s">
        <v>94</v>
      </c>
      <c r="K1212" s="5"/>
    </row>
    <row r="1213">
      <c r="A1213" s="3" t="s">
        <v>1208</v>
      </c>
      <c r="B1213" s="3" t="s">
        <v>575</v>
      </c>
      <c r="C1213" s="3" t="s">
        <v>1225</v>
      </c>
      <c r="D1213" s="4" t="str">
        <f>HYPERLINK("https://12go.asia/en/travel/chengdu-airport/xishui", "12Go Link")</f>
        <v>12Go Link</v>
      </c>
      <c r="E1213" s="3" t="s">
        <v>94</v>
      </c>
      <c r="K1213" s="5"/>
    </row>
    <row r="1214">
      <c r="A1214" s="3" t="s">
        <v>1226</v>
      </c>
      <c r="B1214" s="3" t="s">
        <v>593</v>
      </c>
      <c r="C1214" s="3" t="s">
        <v>1227</v>
      </c>
      <c r="D1214" s="4" t="str">
        <f>HYPERLINK("https://12go.asia/en/travel/chengyang/beijing", "12Go Link")</f>
        <v>12Go Link</v>
      </c>
      <c r="E1214" s="3" t="s">
        <v>94</v>
      </c>
      <c r="K1214" s="5"/>
    </row>
    <row r="1215">
      <c r="A1215" s="3" t="s">
        <v>1226</v>
      </c>
      <c r="B1215" s="3" t="s">
        <v>593</v>
      </c>
      <c r="C1215" s="3" t="s">
        <v>1228</v>
      </c>
      <c r="D1215" s="4" t="str">
        <f>HYPERLINK("https://12go.asia/en/travel/chengyang/beijing-south", "12Go Link")</f>
        <v>12Go Link</v>
      </c>
      <c r="E1215" s="3" t="s">
        <v>94</v>
      </c>
      <c r="K1215" s="5"/>
    </row>
    <row r="1216">
      <c r="A1216" s="3" t="s">
        <v>1226</v>
      </c>
      <c r="B1216" s="3" t="s">
        <v>831</v>
      </c>
      <c r="C1216" s="3" t="s">
        <v>1229</v>
      </c>
      <c r="D1216" s="4" t="str">
        <f>HYPERLINK("https://12go.asia/en/travel/chengyang/changzhou", "12Go Link")</f>
        <v>12Go Link</v>
      </c>
      <c r="E1216" s="3" t="s">
        <v>94</v>
      </c>
      <c r="K1216" s="5"/>
    </row>
    <row r="1217">
      <c r="A1217" s="3" t="s">
        <v>1226</v>
      </c>
      <c r="B1217" s="3" t="s">
        <v>846</v>
      </c>
      <c r="C1217" s="3" t="s">
        <v>1230</v>
      </c>
      <c r="D1217" s="4" t="str">
        <f>HYPERLINK("https://12go.asia/en/travel/chengyang/dezhou", "12Go Link")</f>
        <v>12Go Link</v>
      </c>
      <c r="E1217" s="3" t="s">
        <v>94</v>
      </c>
      <c r="K1217" s="5"/>
    </row>
    <row r="1218">
      <c r="A1218" s="3" t="s">
        <v>1226</v>
      </c>
      <c r="B1218" s="3" t="s">
        <v>846</v>
      </c>
      <c r="C1218" s="3" t="s">
        <v>1231</v>
      </c>
      <c r="D1218" s="4" t="str">
        <f>HYPERLINK("https://12go.asia/en/travel/chengyang/dezhou-east", "12Go Link")</f>
        <v>12Go Link</v>
      </c>
      <c r="E1218" s="3" t="s">
        <v>94</v>
      </c>
      <c r="K1218" s="5"/>
    </row>
    <row r="1219">
      <c r="A1219" s="3" t="s">
        <v>1226</v>
      </c>
      <c r="B1219" s="3" t="s">
        <v>1232</v>
      </c>
      <c r="C1219" s="3" t="s">
        <v>1233</v>
      </c>
      <c r="D1219" s="4" t="str">
        <f>HYPERLINK("https://12go.asia/en/travel/chengyang/gaocheng", "12Go Link")</f>
        <v>12Go Link</v>
      </c>
      <c r="E1219" s="3" t="s">
        <v>94</v>
      </c>
      <c r="K1219" s="5"/>
    </row>
    <row r="1220">
      <c r="A1220" s="3" t="s">
        <v>1226</v>
      </c>
      <c r="B1220" s="3" t="s">
        <v>1232</v>
      </c>
      <c r="C1220" s="3" t="s">
        <v>1234</v>
      </c>
      <c r="D1220" s="4" t="str">
        <f>HYPERLINK("https://12go.asia/en/travel/chengyang/gaocheng-south", "12Go Link")</f>
        <v>12Go Link</v>
      </c>
      <c r="E1220" s="3" t="s">
        <v>94</v>
      </c>
      <c r="K1220" s="5"/>
    </row>
    <row r="1221">
      <c r="A1221" s="3" t="s">
        <v>1226</v>
      </c>
      <c r="B1221" s="3" t="s">
        <v>530</v>
      </c>
      <c r="C1221" s="3" t="s">
        <v>1235</v>
      </c>
      <c r="D1221" s="4" t="str">
        <f>HYPERLINK("https://12go.asia/en/travel/chengyang/hebei", "12Go Link")</f>
        <v>12Go Link</v>
      </c>
      <c r="E1221" s="3" t="s">
        <v>94</v>
      </c>
      <c r="K1221" s="5"/>
    </row>
    <row r="1222">
      <c r="A1222" s="3" t="s">
        <v>1226</v>
      </c>
      <c r="B1222" s="3" t="s">
        <v>1236</v>
      </c>
      <c r="C1222" s="3" t="s">
        <v>1237</v>
      </c>
      <c r="D1222" s="4" t="str">
        <f>HYPERLINK("https://12go.asia/en/travel/chengyang/hengshui", "12Go Link")</f>
        <v>12Go Link</v>
      </c>
      <c r="E1222" s="3" t="s">
        <v>94</v>
      </c>
      <c r="K1222" s="5"/>
    </row>
    <row r="1223">
      <c r="A1223" s="3" t="s">
        <v>1226</v>
      </c>
      <c r="B1223" s="3" t="s">
        <v>1236</v>
      </c>
      <c r="C1223" s="3" t="s">
        <v>1238</v>
      </c>
      <c r="D1223" s="4" t="str">
        <f>HYPERLINK("https://12go.asia/en/travel/chengyang/hengshui-north", "12Go Link")</f>
        <v>12Go Link</v>
      </c>
      <c r="E1223" s="3" t="s">
        <v>94</v>
      </c>
      <c r="K1223" s="5"/>
    </row>
    <row r="1224">
      <c r="A1224" s="3" t="s">
        <v>1226</v>
      </c>
      <c r="B1224" s="3" t="s">
        <v>622</v>
      </c>
      <c r="C1224" s="3" t="s">
        <v>1239</v>
      </c>
      <c r="D1224" s="4" t="str">
        <f>HYPERLINK("https://12go.asia/en/travel/chengyang/heshan", "12Go Link")</f>
        <v>12Go Link</v>
      </c>
      <c r="E1224" s="3" t="s">
        <v>94</v>
      </c>
      <c r="K1224" s="5"/>
    </row>
    <row r="1225">
      <c r="A1225" s="3" t="s">
        <v>1226</v>
      </c>
      <c r="B1225" s="3" t="s">
        <v>1240</v>
      </c>
      <c r="C1225" s="3" t="s">
        <v>1241</v>
      </c>
      <c r="D1225" s="4" t="str">
        <f>HYPERLINK("https://12go.asia/en/travel/chengyang/jinan", "12Go Link")</f>
        <v>12Go Link</v>
      </c>
      <c r="E1225" s="3" t="s">
        <v>94</v>
      </c>
      <c r="K1225" s="5"/>
    </row>
    <row r="1226">
      <c r="A1226" s="3" t="s">
        <v>1226</v>
      </c>
      <c r="B1226" s="3" t="s">
        <v>1240</v>
      </c>
      <c r="C1226" s="3" t="s">
        <v>1242</v>
      </c>
      <c r="D1226" s="4" t="str">
        <f>HYPERLINK("https://12go.asia/en/travel/chengyang/jinan-east", "12Go Link")</f>
        <v>12Go Link</v>
      </c>
      <c r="E1226" s="3" t="s">
        <v>94</v>
      </c>
      <c r="K1226" s="5"/>
    </row>
    <row r="1227">
      <c r="A1227" s="3" t="s">
        <v>1226</v>
      </c>
      <c r="B1227" s="3" t="s">
        <v>1243</v>
      </c>
      <c r="C1227" s="3" t="s">
        <v>1244</v>
      </c>
      <c r="D1227" s="4" t="str">
        <f>HYPERLINK("https://12go.asia/en/travel/chengyang/laixi", "12Go Link")</f>
        <v>12Go Link</v>
      </c>
      <c r="E1227" s="3" t="s">
        <v>94</v>
      </c>
      <c r="K1227" s="5"/>
    </row>
    <row r="1228">
      <c r="A1228" s="3" t="s">
        <v>1226</v>
      </c>
      <c r="B1228" s="3" t="s">
        <v>1243</v>
      </c>
      <c r="C1228" s="3" t="s">
        <v>1245</v>
      </c>
      <c r="D1228" s="4" t="str">
        <f>HYPERLINK("https://12go.asia/en/travel/chengyang/xiagezhuang", "12Go Link")</f>
        <v>12Go Link</v>
      </c>
      <c r="E1228" s="3" t="s">
        <v>94</v>
      </c>
      <c r="K1228" s="5"/>
    </row>
    <row r="1229">
      <c r="A1229" s="3" t="s">
        <v>1226</v>
      </c>
      <c r="B1229" s="3" t="s">
        <v>1246</v>
      </c>
      <c r="C1229" s="3" t="s">
        <v>1247</v>
      </c>
      <c r="D1229" s="4" t="str">
        <f>HYPERLINK("https://12go.asia/en/travel/chengyang/guannan", "12Go Link")</f>
        <v>12Go Link</v>
      </c>
      <c r="E1229" s="3" t="s">
        <v>94</v>
      </c>
      <c r="K1229" s="5"/>
    </row>
    <row r="1230">
      <c r="A1230" s="3" t="s">
        <v>1226</v>
      </c>
      <c r="B1230" s="3" t="s">
        <v>1246</v>
      </c>
      <c r="C1230" s="3" t="s">
        <v>1248</v>
      </c>
      <c r="D1230" s="4" t="str">
        <f>HYPERLINK("https://12go.asia/en/travel/chengyang/lianyungang", "12Go Link")</f>
        <v>12Go Link</v>
      </c>
      <c r="E1230" s="3" t="s">
        <v>94</v>
      </c>
      <c r="K1230" s="5"/>
    </row>
    <row r="1231">
      <c r="A1231" s="3" t="s">
        <v>1226</v>
      </c>
      <c r="B1231" s="3" t="s">
        <v>1249</v>
      </c>
      <c r="C1231" s="3" t="s">
        <v>1250</v>
      </c>
      <c r="D1231" s="4" t="str">
        <f>HYPERLINK("https://12go.asia/en/travel/chengyang/rizhao", "12Go Link")</f>
        <v>12Go Link</v>
      </c>
      <c r="E1231" s="3" t="s">
        <v>94</v>
      </c>
      <c r="K1231" s="5"/>
    </row>
    <row r="1232">
      <c r="A1232" s="3" t="s">
        <v>1226</v>
      </c>
      <c r="B1232" s="3" t="s">
        <v>1249</v>
      </c>
      <c r="C1232" s="3" t="s">
        <v>1251</v>
      </c>
      <c r="D1232" s="4" t="str">
        <f>HYPERLINK("https://12go.asia/en/travel/chengyang/rizhao-west", "12Go Link")</f>
        <v>12Go Link</v>
      </c>
      <c r="E1232" s="3" t="s">
        <v>94</v>
      </c>
      <c r="K1232" s="5"/>
    </row>
    <row r="1233">
      <c r="A1233" s="3" t="s">
        <v>1226</v>
      </c>
      <c r="B1233" s="3" t="s">
        <v>1252</v>
      </c>
      <c r="C1233" s="3" t="s">
        <v>1253</v>
      </c>
      <c r="D1233" s="4" t="str">
        <f>HYPERLINK("https://12go.asia/en/travel/chengyang/shandong", "12Go Link")</f>
        <v>12Go Link</v>
      </c>
      <c r="E1233" s="3" t="s">
        <v>94</v>
      </c>
      <c r="K1233" s="5"/>
    </row>
    <row r="1234">
      <c r="A1234" s="3" t="s">
        <v>1226</v>
      </c>
      <c r="B1234" s="3" t="s">
        <v>512</v>
      </c>
      <c r="C1234" s="3" t="s">
        <v>1254</v>
      </c>
      <c r="D1234" s="4" t="str">
        <f>HYPERLINK("https://12go.asia/en/travel/chengyang/shanghai", "12Go Link")</f>
        <v>12Go Link</v>
      </c>
      <c r="E1234" s="3" t="s">
        <v>94</v>
      </c>
      <c r="K1234" s="5"/>
    </row>
    <row r="1235">
      <c r="A1235" s="3" t="s">
        <v>1226</v>
      </c>
      <c r="B1235" s="3" t="s">
        <v>878</v>
      </c>
      <c r="C1235" s="3" t="s">
        <v>1255</v>
      </c>
      <c r="D1235" s="4" t="str">
        <f>HYPERLINK("https://12go.asia/en/travel/chengyang/shijiazhuang", "12Go Link")</f>
        <v>12Go Link</v>
      </c>
      <c r="E1235" s="3" t="s">
        <v>94</v>
      </c>
      <c r="K1235" s="5"/>
    </row>
    <row r="1236">
      <c r="A1236" s="3" t="s">
        <v>1226</v>
      </c>
      <c r="B1236" s="3" t="s">
        <v>1256</v>
      </c>
      <c r="C1236" s="3" t="s">
        <v>1257</v>
      </c>
      <c r="D1236" s="4" t="str">
        <f>HYPERLINK("https://12go.asia/en/travel/chengyang/suzhou", "12Go Link")</f>
        <v>12Go Link</v>
      </c>
      <c r="E1236" s="3" t="s">
        <v>94</v>
      </c>
      <c r="K1236" s="5"/>
    </row>
    <row r="1237">
      <c r="A1237" s="3" t="s">
        <v>1226</v>
      </c>
      <c r="B1237" s="3" t="s">
        <v>997</v>
      </c>
      <c r="C1237" s="3" t="s">
        <v>1258</v>
      </c>
      <c r="D1237" s="4" t="str">
        <f>HYPERLINK("https://12go.asia/en/travel/chengyang/taian-shandong", "12Go Link")</f>
        <v>12Go Link</v>
      </c>
      <c r="E1237" s="3" t="s">
        <v>94</v>
      </c>
      <c r="K1237" s="5"/>
    </row>
    <row r="1238">
      <c r="A1238" s="3" t="s">
        <v>1226</v>
      </c>
      <c r="B1238" s="3" t="s">
        <v>823</v>
      </c>
      <c r="C1238" s="3" t="s">
        <v>1259</v>
      </c>
      <c r="D1238" s="4" t="str">
        <f>HYPERLINK("https://12go.asia/en/travel/chengyang/tianjin", "12Go Link")</f>
        <v>12Go Link</v>
      </c>
      <c r="E1238" s="3" t="s">
        <v>94</v>
      </c>
      <c r="K1238" s="5"/>
    </row>
    <row r="1239">
      <c r="A1239" s="3" t="s">
        <v>1226</v>
      </c>
      <c r="B1239" s="3" t="s">
        <v>823</v>
      </c>
      <c r="C1239" s="3" t="s">
        <v>1260</v>
      </c>
      <c r="D1239" s="4" t="str">
        <f>HYPERLINK("https://12go.asia/en/travel/chengyang/tianjin-south", "12Go Link")</f>
        <v>12Go Link</v>
      </c>
      <c r="E1239" s="3" t="s">
        <v>94</v>
      </c>
      <c r="K1239" s="5"/>
    </row>
    <row r="1240">
      <c r="A1240" s="3" t="s">
        <v>1226</v>
      </c>
      <c r="B1240" s="3" t="s">
        <v>790</v>
      </c>
      <c r="C1240" s="3" t="s">
        <v>1261</v>
      </c>
      <c r="D1240" s="4" t="str">
        <f>HYPERLINK("https://12go.asia/en/travel/chengyang/weifang", "12Go Link")</f>
        <v>12Go Link</v>
      </c>
      <c r="E1240" s="3" t="s">
        <v>94</v>
      </c>
      <c r="K1240" s="5"/>
    </row>
    <row r="1241">
      <c r="A1241" s="3" t="s">
        <v>1226</v>
      </c>
      <c r="B1241" s="3" t="s">
        <v>790</v>
      </c>
      <c r="C1241" s="3" t="s">
        <v>1262</v>
      </c>
      <c r="D1241" s="4" t="str">
        <f>HYPERLINK("https://12go.asia/en/travel/chengyang/weifang-north", "12Go Link")</f>
        <v>12Go Link</v>
      </c>
      <c r="E1241" s="3" t="s">
        <v>94</v>
      </c>
      <c r="K1241" s="5"/>
    </row>
    <row r="1242">
      <c r="A1242" s="3" t="s">
        <v>1226</v>
      </c>
      <c r="B1242" s="3" t="s">
        <v>1263</v>
      </c>
      <c r="C1242" s="3" t="s">
        <v>1264</v>
      </c>
      <c r="D1242" s="4" t="str">
        <f>HYPERLINK("https://12go.asia/en/travel/chengyang/weihai", "12Go Link")</f>
        <v>12Go Link</v>
      </c>
      <c r="E1242" s="3" t="s">
        <v>94</v>
      </c>
      <c r="K1242" s="5"/>
    </row>
    <row r="1243">
      <c r="A1243" s="3" t="s">
        <v>1226</v>
      </c>
      <c r="B1243" s="3" t="s">
        <v>1265</v>
      </c>
      <c r="C1243" s="3" t="s">
        <v>1266</v>
      </c>
      <c r="D1243" s="4" t="str">
        <f>HYPERLINK("https://12go.asia/en/travel/chengyang/weihai-nanhai", "12Go Link")</f>
        <v>12Go Link</v>
      </c>
      <c r="E1243" s="3" t="s">
        <v>94</v>
      </c>
      <c r="K1243" s="5"/>
    </row>
    <row r="1244">
      <c r="A1244" s="3" t="s">
        <v>1226</v>
      </c>
      <c r="B1244" s="3" t="s">
        <v>1265</v>
      </c>
      <c r="C1244" s="3" t="s">
        <v>1267</v>
      </c>
      <c r="D1244" s="4" t="str">
        <f>HYPERLINK("https://12go.asia/en/travel/chengyang/wendeng", "12Go Link")</f>
        <v>12Go Link</v>
      </c>
      <c r="E1244" s="3" t="s">
        <v>94</v>
      </c>
      <c r="K1244" s="5"/>
    </row>
    <row r="1245">
      <c r="A1245" s="3" t="s">
        <v>1226</v>
      </c>
      <c r="B1245" s="3" t="s">
        <v>798</v>
      </c>
      <c r="C1245" s="3" t="s">
        <v>1268</v>
      </c>
      <c r="D1245" s="4" t="str">
        <f>HYPERLINK("https://12go.asia/en/travel/chengyang/wuxi", "12Go Link")</f>
        <v>12Go Link</v>
      </c>
      <c r="E1245" s="3" t="s">
        <v>94</v>
      </c>
      <c r="K1245" s="5"/>
    </row>
    <row r="1246">
      <c r="A1246" s="3" t="s">
        <v>1226</v>
      </c>
      <c r="B1246" s="3" t="s">
        <v>897</v>
      </c>
      <c r="C1246" s="3" t="s">
        <v>1269</v>
      </c>
      <c r="D1246" s="4" t="str">
        <f>HYPERLINK("https://12go.asia/en/travel/chengyang/yantai", "12Go Link")</f>
        <v>12Go Link</v>
      </c>
      <c r="E1246" s="3" t="s">
        <v>94</v>
      </c>
      <c r="K1246" s="5"/>
    </row>
    <row r="1247">
      <c r="A1247" s="3" t="s">
        <v>1226</v>
      </c>
      <c r="B1247" s="3" t="s">
        <v>897</v>
      </c>
      <c r="C1247" s="3" t="s">
        <v>1270</v>
      </c>
      <c r="D1247" s="4" t="str">
        <f>HYPERLINK("https://12go.asia/en/travel/chengyang/yantai-south", "12Go Link")</f>
        <v>12Go Link</v>
      </c>
      <c r="E1247" s="3" t="s">
        <v>94</v>
      </c>
      <c r="K1247" s="5"/>
    </row>
    <row r="1248">
      <c r="A1248" s="3" t="s">
        <v>1226</v>
      </c>
      <c r="B1248" s="3" t="s">
        <v>1271</v>
      </c>
      <c r="C1248" s="3" t="s">
        <v>1272</v>
      </c>
      <c r="D1248" s="4" t="str">
        <f>HYPERLINK("https://12go.asia/en/travel/chengyang/zibo", "12Go Link")</f>
        <v>12Go Link</v>
      </c>
      <c r="E1248" s="3" t="s">
        <v>94</v>
      </c>
      <c r="K1248" s="5"/>
    </row>
    <row r="1249">
      <c r="A1249" s="3" t="s">
        <v>1273</v>
      </c>
      <c r="B1249" s="3" t="s">
        <v>600</v>
      </c>
      <c r="C1249" s="3" t="s">
        <v>1274</v>
      </c>
      <c r="D1249" s="4" t="str">
        <f>HYPERLINK("https://12go.asia/en/travel/chenzhou/boluo", "12Go Link")</f>
        <v>12Go Link</v>
      </c>
      <c r="E1249" s="3" t="s">
        <v>94</v>
      </c>
      <c r="K1249" s="5"/>
    </row>
    <row r="1250">
      <c r="A1250" s="3" t="s">
        <v>1273</v>
      </c>
      <c r="B1250" s="3" t="s">
        <v>740</v>
      </c>
      <c r="C1250" s="3" t="s">
        <v>1275</v>
      </c>
      <c r="D1250" s="4" t="str">
        <f>HYPERLINK("https://12go.asia/en/travel/chenzhou/changchun", "12Go Link")</f>
        <v>12Go Link</v>
      </c>
      <c r="E1250" s="3" t="s">
        <v>94</v>
      </c>
      <c r="K1250" s="5"/>
    </row>
    <row r="1251">
      <c r="A1251" s="3" t="s">
        <v>1273</v>
      </c>
      <c r="B1251" s="3" t="s">
        <v>609</v>
      </c>
      <c r="C1251" s="3" t="s">
        <v>1276</v>
      </c>
      <c r="D1251" s="4" t="str">
        <f>HYPERLINK("https://12go.asia/en/travel/chenzhou/dongcheng-south", "12Go Link")</f>
        <v>12Go Link</v>
      </c>
      <c r="E1251" s="3" t="s">
        <v>94</v>
      </c>
      <c r="K1251" s="5"/>
    </row>
    <row r="1252">
      <c r="A1252" s="3" t="s">
        <v>1273</v>
      </c>
      <c r="B1252" s="3" t="s">
        <v>611</v>
      </c>
      <c r="C1252" s="3" t="s">
        <v>1277</v>
      </c>
      <c r="D1252" s="4" t="str">
        <f>HYPERLINK("https://12go.asia/en/travel/chenzhou/dongguan", "12Go Link")</f>
        <v>12Go Link</v>
      </c>
      <c r="E1252" s="3" t="s">
        <v>94</v>
      </c>
      <c r="K1252" s="5"/>
    </row>
    <row r="1253">
      <c r="A1253" s="3" t="s">
        <v>1273</v>
      </c>
      <c r="B1253" s="3" t="s">
        <v>611</v>
      </c>
      <c r="C1253" s="3" t="s">
        <v>1278</v>
      </c>
      <c r="D1253" s="4" t="str">
        <f>HYPERLINK("https://12go.asia/en/travel/chenzhou/dongguan-east", "12Go Link")</f>
        <v>12Go Link</v>
      </c>
      <c r="E1253" s="3" t="s">
        <v>94</v>
      </c>
      <c r="K1253" s="5"/>
    </row>
    <row r="1254">
      <c r="A1254" s="3" t="s">
        <v>1273</v>
      </c>
      <c r="B1254" s="3" t="s">
        <v>520</v>
      </c>
      <c r="C1254" s="3" t="s">
        <v>1279</v>
      </c>
      <c r="D1254" s="4" t="str">
        <f>HYPERLINK("https://12go.asia/en/travel/chenzhou/gansu", "12Go Link")</f>
        <v>12Go Link</v>
      </c>
      <c r="E1254" s="3" t="s">
        <v>94</v>
      </c>
      <c r="K1254" s="5"/>
    </row>
    <row r="1255">
      <c r="A1255" s="3" t="s">
        <v>1273</v>
      </c>
      <c r="B1255" s="3" t="s">
        <v>755</v>
      </c>
      <c r="C1255" s="3" t="s">
        <v>1280</v>
      </c>
      <c r="D1255" s="4" t="str">
        <f>HYPERLINK("https://12go.asia/en/travel/chenzhou-west/hangzhou-west", "12Go Link")</f>
        <v>12Go Link</v>
      </c>
      <c r="E1255" s="3" t="s">
        <v>94</v>
      </c>
      <c r="K1255" s="5"/>
    </row>
    <row r="1256">
      <c r="A1256" s="3" t="s">
        <v>1273</v>
      </c>
      <c r="B1256" s="3" t="s">
        <v>1033</v>
      </c>
      <c r="C1256" s="3" t="s">
        <v>1281</v>
      </c>
      <c r="D1256" s="4" t="str">
        <f>HYPERLINK("https://12go.asia/en/travel/chenzhou/henan", "12Go Link")</f>
        <v>12Go Link</v>
      </c>
      <c r="E1256" s="3" t="s">
        <v>94</v>
      </c>
      <c r="K1256" s="5"/>
    </row>
    <row r="1257">
      <c r="A1257" s="3" t="s">
        <v>1273</v>
      </c>
      <c r="B1257" s="3" t="s">
        <v>620</v>
      </c>
      <c r="C1257" s="3" t="s">
        <v>1282</v>
      </c>
      <c r="D1257" s="4" t="str">
        <f>HYPERLINK("https://12go.asia/en/travel/chenzhou/hengqin-island", "12Go Link")</f>
        <v>12Go Link</v>
      </c>
      <c r="E1257" s="3" t="s">
        <v>94</v>
      </c>
      <c r="K1257" s="5"/>
    </row>
    <row r="1258">
      <c r="A1258" s="3" t="s">
        <v>1273</v>
      </c>
      <c r="B1258" s="3" t="s">
        <v>632</v>
      </c>
      <c r="C1258" s="3" t="s">
        <v>1283</v>
      </c>
      <c r="D1258" s="4" t="str">
        <f>HYPERLINK("https://12go.asia/en/travel/chenzhou-west/guangzhoubaiyun", "12Go Link")</f>
        <v>12Go Link</v>
      </c>
      <c r="E1258" s="3" t="s">
        <v>94</v>
      </c>
      <c r="K1258" s="5"/>
    </row>
    <row r="1259">
      <c r="A1259" s="3" t="s">
        <v>1273</v>
      </c>
      <c r="B1259" s="3" t="s">
        <v>632</v>
      </c>
      <c r="C1259" s="3" t="s">
        <v>1284</v>
      </c>
      <c r="D1259" s="4" t="str">
        <f>HYPERLINK("https://12go.asia/en/travel/chenzhou/guangzhoubaiyun", "12Go Link")</f>
        <v>12Go Link</v>
      </c>
      <c r="E1259" s="3" t="s">
        <v>94</v>
      </c>
      <c r="K1259" s="5"/>
    </row>
    <row r="1260">
      <c r="A1260" s="3" t="s">
        <v>1273</v>
      </c>
      <c r="B1260" s="3" t="s">
        <v>632</v>
      </c>
      <c r="C1260" s="3" t="s">
        <v>1285</v>
      </c>
      <c r="D1260" s="4" t="str">
        <f>HYPERLINK("https://12go.asia/en/travel/chenzhou/huaxi", "12Go Link")</f>
        <v>12Go Link</v>
      </c>
      <c r="E1260" s="3" t="s">
        <v>94</v>
      </c>
      <c r="K1260" s="5"/>
    </row>
    <row r="1261">
      <c r="A1261" s="3" t="s">
        <v>1273</v>
      </c>
      <c r="B1261" s="3" t="s">
        <v>534</v>
      </c>
      <c r="C1261" s="3" t="s">
        <v>1286</v>
      </c>
      <c r="D1261" s="4" t="str">
        <f>HYPERLINK("https://12go.asia/en/travel/chenzhou/hubei", "12Go Link")</f>
        <v>12Go Link</v>
      </c>
      <c r="E1261" s="3" t="s">
        <v>94</v>
      </c>
      <c r="K1261" s="5"/>
    </row>
    <row r="1262">
      <c r="A1262" s="3" t="s">
        <v>1273</v>
      </c>
      <c r="B1262" s="3" t="s">
        <v>957</v>
      </c>
      <c r="C1262" s="3" t="s">
        <v>1287</v>
      </c>
      <c r="D1262" s="4" t="str">
        <f>HYPERLINK("https://12go.asia/en/travel/chenzhou-west/huiyang", "12Go Link")</f>
        <v>12Go Link</v>
      </c>
      <c r="E1262" s="3" t="s">
        <v>94</v>
      </c>
      <c r="K1262" s="5"/>
    </row>
    <row r="1263">
      <c r="A1263" s="3" t="s">
        <v>1273</v>
      </c>
      <c r="B1263" s="3" t="s">
        <v>957</v>
      </c>
      <c r="C1263" s="3" t="s">
        <v>1288</v>
      </c>
      <c r="D1263" s="4" t="str">
        <f>HYPERLINK("https://12go.asia/en/travel/chenzhou/huiyang-district", "12Go Link")</f>
        <v>12Go Link</v>
      </c>
      <c r="E1263" s="3" t="s">
        <v>94</v>
      </c>
      <c r="K1263" s="5"/>
    </row>
    <row r="1264">
      <c r="A1264" s="3" t="s">
        <v>1273</v>
      </c>
      <c r="B1264" s="3" t="s">
        <v>636</v>
      </c>
      <c r="C1264" s="3" t="s">
        <v>1289</v>
      </c>
      <c r="D1264" s="4" t="str">
        <f>HYPERLINK("https://12go.asia/en/travel/chenzhou-west/humen", "12Go Link")</f>
        <v>12Go Link</v>
      </c>
      <c r="E1264" s="3" t="s">
        <v>94</v>
      </c>
      <c r="K1264" s="5"/>
    </row>
    <row r="1265">
      <c r="A1265" s="3" t="s">
        <v>1273</v>
      </c>
      <c r="B1265" s="3" t="s">
        <v>636</v>
      </c>
      <c r="C1265" s="3" t="s">
        <v>1290</v>
      </c>
      <c r="D1265" s="4" t="str">
        <f>HYPERLINK("https://12go.asia/en/travel/chenzhou/humen-town", "12Go Link")</f>
        <v>12Go Link</v>
      </c>
      <c r="E1265" s="3" t="s">
        <v>94</v>
      </c>
      <c r="K1265" s="5"/>
    </row>
    <row r="1266">
      <c r="A1266" s="3" t="s">
        <v>1273</v>
      </c>
      <c r="B1266" s="3" t="s">
        <v>1291</v>
      </c>
      <c r="C1266" s="3" t="s">
        <v>1292</v>
      </c>
      <c r="D1266" s="4" t="str">
        <f>HYPERLINK("https://12go.asia/en/travel/chenzhou/jian-jiangxi", "12Go Link")</f>
        <v>12Go Link</v>
      </c>
      <c r="E1266" s="3" t="s">
        <v>94</v>
      </c>
      <c r="K1266" s="5"/>
    </row>
    <row r="1267">
      <c r="A1267" s="3" t="s">
        <v>1273</v>
      </c>
      <c r="B1267" s="3" t="s">
        <v>639</v>
      </c>
      <c r="C1267" s="3" t="s">
        <v>1293</v>
      </c>
      <c r="D1267" s="4" t="str">
        <f>HYPERLINK("https://12go.asia/en/travel/chenzhou/jiangbei", "12Go Link")</f>
        <v>12Go Link</v>
      </c>
      <c r="E1267" s="3" t="s">
        <v>94</v>
      </c>
      <c r="K1267" s="5"/>
    </row>
    <row r="1268">
      <c r="A1268" s="3" t="s">
        <v>1273</v>
      </c>
      <c r="B1268" s="3" t="s">
        <v>641</v>
      </c>
      <c r="C1268" s="3" t="s">
        <v>1294</v>
      </c>
      <c r="D1268" s="4" t="str">
        <f>HYPERLINK("https://12go.asia/en/travel/chenzhou/jiangjin", "12Go Link")</f>
        <v>12Go Link</v>
      </c>
      <c r="E1268" s="3" t="s">
        <v>94</v>
      </c>
      <c r="K1268" s="5"/>
    </row>
    <row r="1269">
      <c r="A1269" s="3" t="s">
        <v>1273</v>
      </c>
      <c r="B1269" s="3" t="s">
        <v>538</v>
      </c>
      <c r="C1269" s="3" t="s">
        <v>1295</v>
      </c>
      <c r="D1269" s="4" t="str">
        <f>HYPERLINK("https://12go.asia/en/travel/chenzhou/jiangxi", "12Go Link")</f>
        <v>12Go Link</v>
      </c>
      <c r="E1269" s="3" t="s">
        <v>94</v>
      </c>
      <c r="K1269" s="5"/>
    </row>
    <row r="1270">
      <c r="A1270" s="3" t="s">
        <v>1273</v>
      </c>
      <c r="B1270" s="3" t="s">
        <v>645</v>
      </c>
      <c r="C1270" s="3" t="s">
        <v>1296</v>
      </c>
      <c r="D1270" s="4" t="str">
        <f>HYPERLINK("https://12go.asia/en/travel/chenzhou/jiangxia", "12Go Link")</f>
        <v>12Go Link</v>
      </c>
      <c r="E1270" s="3" t="s">
        <v>94</v>
      </c>
      <c r="K1270" s="5"/>
    </row>
    <row r="1271">
      <c r="A1271" s="3" t="s">
        <v>1273</v>
      </c>
      <c r="B1271" s="3" t="s">
        <v>647</v>
      </c>
      <c r="C1271" s="3" t="s">
        <v>1297</v>
      </c>
      <c r="D1271" s="4" t="str">
        <f>HYPERLINK("https://12go.asia/en/travel/chenzhou/jiangyuan", "12Go Link")</f>
        <v>12Go Link</v>
      </c>
      <c r="E1271" s="3" t="s">
        <v>94</v>
      </c>
      <c r="K1271" s="5"/>
    </row>
    <row r="1272">
      <c r="A1272" s="3" t="s">
        <v>1273</v>
      </c>
      <c r="B1272" s="3" t="s">
        <v>540</v>
      </c>
      <c r="C1272" s="3" t="s">
        <v>1298</v>
      </c>
      <c r="D1272" s="4" t="str">
        <f>HYPERLINK("https://12go.asia/en/travel/chenzhou/jiangzhou", "12Go Link")</f>
        <v>12Go Link</v>
      </c>
      <c r="E1272" s="3" t="s">
        <v>94</v>
      </c>
      <c r="K1272" s="5"/>
    </row>
    <row r="1273">
      <c r="A1273" s="3" t="s">
        <v>1273</v>
      </c>
      <c r="B1273" s="3" t="s">
        <v>542</v>
      </c>
      <c r="C1273" s="3" t="s">
        <v>1299</v>
      </c>
      <c r="D1273" s="4" t="str">
        <f>HYPERLINK("https://12go.asia/en/travel/chenzhou/jiaocheng", "12Go Link")</f>
        <v>12Go Link</v>
      </c>
      <c r="E1273" s="3" t="s">
        <v>94</v>
      </c>
      <c r="K1273" s="5"/>
    </row>
    <row r="1274">
      <c r="A1274" s="3" t="s">
        <v>1273</v>
      </c>
      <c r="B1274" s="3" t="s">
        <v>544</v>
      </c>
      <c r="C1274" s="3" t="s">
        <v>1300</v>
      </c>
      <c r="D1274" s="4" t="str">
        <f>HYPERLINK("https://12go.asia/en/travel/chenzhou-west/lanzhou-west", "12Go Link")</f>
        <v>12Go Link</v>
      </c>
      <c r="E1274" s="3" t="s">
        <v>94</v>
      </c>
      <c r="K1274" s="5"/>
    </row>
    <row r="1275">
      <c r="A1275" s="3" t="s">
        <v>1273</v>
      </c>
      <c r="B1275" s="3" t="s">
        <v>544</v>
      </c>
      <c r="C1275" s="3" t="s">
        <v>1301</v>
      </c>
      <c r="D1275" s="4" t="str">
        <f>HYPERLINK("https://12go.asia/en/travel/chenzhou/lanzhou", "12Go Link")</f>
        <v>12Go Link</v>
      </c>
      <c r="E1275" s="3" t="s">
        <v>94</v>
      </c>
      <c r="K1275" s="5"/>
    </row>
    <row r="1276">
      <c r="A1276" s="3" t="s">
        <v>1273</v>
      </c>
      <c r="B1276" s="3" t="s">
        <v>1105</v>
      </c>
      <c r="C1276" s="3" t="s">
        <v>1302</v>
      </c>
      <c r="D1276" s="4" t="str">
        <f>HYPERLINK("https://12go.asia/en/travel/chenzhou/liaoning", "12Go Link")</f>
        <v>12Go Link</v>
      </c>
      <c r="E1276" s="3" t="s">
        <v>94</v>
      </c>
      <c r="K1276" s="5"/>
    </row>
    <row r="1277">
      <c r="A1277" s="3" t="s">
        <v>1273</v>
      </c>
      <c r="B1277" s="3" t="s">
        <v>1303</v>
      </c>
      <c r="C1277" s="3" t="s">
        <v>1304</v>
      </c>
      <c r="D1277" s="4" t="str">
        <f>HYPERLINK("https://12go.asia/en/travel/chenzhou/macau", "12Go Link")</f>
        <v>12Go Link</v>
      </c>
      <c r="E1277" s="3" t="s">
        <v>94</v>
      </c>
      <c r="K1277" s="5"/>
    </row>
    <row r="1278">
      <c r="A1278" s="3" t="s">
        <v>1273</v>
      </c>
      <c r="B1278" s="3" t="s">
        <v>874</v>
      </c>
      <c r="C1278" s="3" t="s">
        <v>1305</v>
      </c>
      <c r="D1278" s="4" t="str">
        <f>HYPERLINK("https://12go.asia/en/travel/chenzhou-west/nanchang-west", "12Go Link")</f>
        <v>12Go Link</v>
      </c>
      <c r="E1278" s="3" t="s">
        <v>94</v>
      </c>
      <c r="K1278" s="5"/>
    </row>
    <row r="1279">
      <c r="A1279" s="3" t="s">
        <v>1273</v>
      </c>
      <c r="B1279" s="3" t="s">
        <v>874</v>
      </c>
      <c r="C1279" s="3" t="s">
        <v>1306</v>
      </c>
      <c r="D1279" s="4" t="str">
        <f>HYPERLINK("https://12go.asia/en/travel/chenzhou/nanchang", "12Go Link")</f>
        <v>12Go Link</v>
      </c>
      <c r="E1279" s="3" t="s">
        <v>94</v>
      </c>
      <c r="K1279" s="5"/>
    </row>
    <row r="1280">
      <c r="A1280" s="3" t="s">
        <v>1273</v>
      </c>
      <c r="B1280" s="3" t="s">
        <v>550</v>
      </c>
      <c r="C1280" s="3" t="s">
        <v>1307</v>
      </c>
      <c r="D1280" s="4" t="str">
        <f>HYPERLINK("https://12go.asia/en/travel/chenzhou/saihan", "12Go Link")</f>
        <v>12Go Link</v>
      </c>
      <c r="E1280" s="3" t="s">
        <v>94</v>
      </c>
      <c r="K1280" s="5"/>
    </row>
    <row r="1281">
      <c r="A1281" s="3" t="s">
        <v>1273</v>
      </c>
      <c r="B1281" s="3" t="s">
        <v>552</v>
      </c>
      <c r="C1281" s="3" t="s">
        <v>1308</v>
      </c>
      <c r="D1281" s="4" t="str">
        <f>HYPERLINK("https://12go.asia/en/travel/chenzhou/shaanxi", "12Go Link")</f>
        <v>12Go Link</v>
      </c>
      <c r="E1281" s="3" t="s">
        <v>94</v>
      </c>
      <c r="K1281" s="5"/>
    </row>
    <row r="1282">
      <c r="A1282" s="3" t="s">
        <v>1273</v>
      </c>
      <c r="B1282" s="3" t="s">
        <v>1309</v>
      </c>
      <c r="C1282" s="3" t="s">
        <v>1310</v>
      </c>
      <c r="D1282" s="4" t="str">
        <f>HYPERLINK("https://12go.asia/en/travel/chenzhou-west/shaoshan-south", "12Go Link")</f>
        <v>12Go Link</v>
      </c>
      <c r="E1282" s="3" t="s">
        <v>94</v>
      </c>
      <c r="K1282" s="5"/>
    </row>
    <row r="1283">
      <c r="A1283" s="3" t="s">
        <v>1273</v>
      </c>
      <c r="B1283" s="3" t="s">
        <v>1309</v>
      </c>
      <c r="C1283" s="3" t="s">
        <v>1311</v>
      </c>
      <c r="D1283" s="4" t="str">
        <f>HYPERLINK("https://12go.asia/en/travel/chenzhou/shaoshan", "12Go Link")</f>
        <v>12Go Link</v>
      </c>
      <c r="E1283" s="3" t="s">
        <v>94</v>
      </c>
      <c r="K1283" s="5"/>
    </row>
    <row r="1284">
      <c r="A1284" s="3" t="s">
        <v>1273</v>
      </c>
      <c r="B1284" s="3" t="s">
        <v>1312</v>
      </c>
      <c r="C1284" s="3" t="s">
        <v>1313</v>
      </c>
      <c r="D1284" s="4" t="str">
        <f>HYPERLINK("https://12go.asia/en/travel/chenzhou-west/shaoyang", "12Go Link")</f>
        <v>12Go Link</v>
      </c>
      <c r="E1284" s="3" t="s">
        <v>94</v>
      </c>
      <c r="K1284" s="5"/>
    </row>
    <row r="1285">
      <c r="A1285" s="3" t="s">
        <v>1273</v>
      </c>
      <c r="B1285" s="3" t="s">
        <v>1312</v>
      </c>
      <c r="C1285" s="3" t="s">
        <v>1314</v>
      </c>
      <c r="D1285" s="4" t="str">
        <f>HYPERLINK("https://12go.asia/en/travel/chenzhou/shaoyang", "12Go Link")</f>
        <v>12Go Link</v>
      </c>
      <c r="E1285" s="3" t="s">
        <v>94</v>
      </c>
      <c r="K1285" s="5"/>
    </row>
    <row r="1286">
      <c r="A1286" s="3" t="s">
        <v>1273</v>
      </c>
      <c r="B1286" s="3" t="s">
        <v>554</v>
      </c>
      <c r="C1286" s="3" t="s">
        <v>1315</v>
      </c>
      <c r="D1286" s="4" t="str">
        <f>HYPERLINK("https://12go.asia/en/travel/chenzhou/shenyang", "12Go Link")</f>
        <v>12Go Link</v>
      </c>
      <c r="E1286" s="3" t="s">
        <v>94</v>
      </c>
      <c r="K1286" s="5"/>
    </row>
    <row r="1287">
      <c r="A1287" s="3" t="s">
        <v>1273</v>
      </c>
      <c r="B1287" s="3" t="s">
        <v>554</v>
      </c>
      <c r="C1287" s="3" t="s">
        <v>1316</v>
      </c>
      <c r="D1287" s="4" t="str">
        <f>HYPERLINK("https://12go.asia/en/travel/chenzhou/shenyang-north", "12Go Link")</f>
        <v>12Go Link</v>
      </c>
      <c r="E1287" s="3" t="s">
        <v>94</v>
      </c>
      <c r="K1287" s="5"/>
    </row>
    <row r="1288">
      <c r="A1288" s="3" t="s">
        <v>1273</v>
      </c>
      <c r="B1288" s="3" t="s">
        <v>564</v>
      </c>
      <c r="C1288" s="3" t="s">
        <v>1317</v>
      </c>
      <c r="D1288" s="4" t="str">
        <f>HYPERLINK("https://12go.asia/en/travel/chenzhou/tianxin", "12Go Link")</f>
        <v>12Go Link</v>
      </c>
      <c r="E1288" s="3" t="s">
        <v>94</v>
      </c>
      <c r="K1288" s="5"/>
    </row>
    <row r="1289">
      <c r="A1289" s="3" t="s">
        <v>1273</v>
      </c>
      <c r="B1289" s="3" t="s">
        <v>801</v>
      </c>
      <c r="C1289" s="3" t="s">
        <v>1318</v>
      </c>
      <c r="D1289" s="4" t="str">
        <f>HYPERLINK("https://12go.asia/en/travel/chenzhou-west/xian-north", "12Go Link")</f>
        <v>12Go Link</v>
      </c>
      <c r="E1289" s="3" t="s">
        <v>94</v>
      </c>
      <c r="K1289" s="5"/>
    </row>
    <row r="1290">
      <c r="A1290" s="3" t="s">
        <v>1273</v>
      </c>
      <c r="B1290" s="3" t="s">
        <v>801</v>
      </c>
      <c r="C1290" s="3" t="s">
        <v>1319</v>
      </c>
      <c r="D1290" s="4" t="str">
        <f>HYPERLINK("https://12go.asia/en/travel/chenzhou/xian", "12Go Link")</f>
        <v>12Go Link</v>
      </c>
      <c r="E1290" s="3" t="s">
        <v>94</v>
      </c>
      <c r="K1290" s="5"/>
    </row>
    <row r="1291">
      <c r="A1291" s="3" t="s">
        <v>1273</v>
      </c>
      <c r="B1291" s="3" t="s">
        <v>568</v>
      </c>
      <c r="C1291" s="3" t="s">
        <v>1320</v>
      </c>
      <c r="D1291" s="4" t="str">
        <f>HYPERLINK("https://12go.asia/en/travel/chenzhou/xigu", "12Go Link")</f>
        <v>12Go Link</v>
      </c>
      <c r="E1291" s="3" t="s">
        <v>94</v>
      </c>
      <c r="K1291" s="5"/>
    </row>
    <row r="1292">
      <c r="A1292" s="3" t="s">
        <v>1273</v>
      </c>
      <c r="B1292" s="3" t="s">
        <v>712</v>
      </c>
      <c r="C1292" s="3" t="s">
        <v>1321</v>
      </c>
      <c r="D1292" s="4" t="str">
        <f>HYPERLINK("https://12go.asia/en/travel/chenzhou/xihu", "12Go Link")</f>
        <v>12Go Link</v>
      </c>
      <c r="E1292" s="3" t="s">
        <v>94</v>
      </c>
      <c r="K1292" s="5"/>
    </row>
    <row r="1293">
      <c r="A1293" s="3" t="s">
        <v>1273</v>
      </c>
      <c r="B1293" s="3" t="s">
        <v>720</v>
      </c>
      <c r="C1293" s="3" t="s">
        <v>1322</v>
      </c>
      <c r="D1293" s="4" t="str">
        <f>HYPERLINK("https://12go.asia/en/travel/chenzhou/yangchun", "12Go Link")</f>
        <v>12Go Link</v>
      </c>
      <c r="E1293" s="3" t="s">
        <v>94</v>
      </c>
      <c r="K1293" s="5"/>
    </row>
    <row r="1294">
      <c r="A1294" s="3" t="s">
        <v>1273</v>
      </c>
      <c r="B1294" s="3" t="s">
        <v>1017</v>
      </c>
      <c r="C1294" s="3" t="s">
        <v>1323</v>
      </c>
      <c r="D1294" s="4" t="str">
        <f>HYPERLINK("https://12go.asia/en/travel/chenzhou-west/xintang", "12Go Link")</f>
        <v>12Go Link</v>
      </c>
      <c r="E1294" s="3" t="s">
        <v>94</v>
      </c>
      <c r="K1294" s="5"/>
    </row>
    <row r="1295">
      <c r="A1295" s="3" t="s">
        <v>1273</v>
      </c>
      <c r="B1295" s="3" t="s">
        <v>1017</v>
      </c>
      <c r="C1295" s="3" t="s">
        <v>1324</v>
      </c>
      <c r="D1295" s="4" t="str">
        <f>HYPERLINK("https://12go.asia/en/travel/chenzhou-west/zengcheng", "12Go Link")</f>
        <v>12Go Link</v>
      </c>
      <c r="E1295" s="3" t="s">
        <v>94</v>
      </c>
      <c r="K1295" s="5"/>
    </row>
    <row r="1296">
      <c r="A1296" s="3" t="s">
        <v>1273</v>
      </c>
      <c r="B1296" s="3" t="s">
        <v>1017</v>
      </c>
      <c r="C1296" s="3" t="s">
        <v>1325</v>
      </c>
      <c r="D1296" s="4" t="str">
        <f>HYPERLINK("https://12go.asia/en/travel/chenzhou/zengcheng", "12Go Link")</f>
        <v>12Go Link</v>
      </c>
      <c r="E1296" s="3" t="s">
        <v>94</v>
      </c>
      <c r="K1296" s="5"/>
    </row>
    <row r="1297">
      <c r="A1297" s="3" t="s">
        <v>1273</v>
      </c>
      <c r="B1297" s="3" t="s">
        <v>1326</v>
      </c>
      <c r="C1297" s="3" t="s">
        <v>1327</v>
      </c>
      <c r="D1297" s="4" t="str">
        <f>HYPERLINK("https://12go.asia/en/travel/chenzhou-west/zhangjiajie-west", "12Go Link")</f>
        <v>12Go Link</v>
      </c>
      <c r="E1297" s="3" t="s">
        <v>94</v>
      </c>
      <c r="K1297" s="5"/>
    </row>
    <row r="1298">
      <c r="A1298" s="3" t="s">
        <v>1273</v>
      </c>
      <c r="B1298" s="3" t="s">
        <v>1326</v>
      </c>
      <c r="C1298" s="3" t="s">
        <v>1328</v>
      </c>
      <c r="D1298" s="4" t="str">
        <f>HYPERLINK("https://12go.asia/en/travel/chenzhou/zhangjiajie", "12Go Link")</f>
        <v>12Go Link</v>
      </c>
      <c r="E1298" s="3" t="s">
        <v>94</v>
      </c>
      <c r="K1298" s="5"/>
    </row>
    <row r="1299">
      <c r="A1299" s="3" t="s">
        <v>1273</v>
      </c>
      <c r="B1299" s="3" t="s">
        <v>1326</v>
      </c>
      <c r="C1299" s="3" t="s">
        <v>1329</v>
      </c>
      <c r="D1299" s="4" t="str">
        <f>HYPERLINK("https://12go.asia/en/travel/chenzhou/zhangjiajie-west", "12Go Link")</f>
        <v>12Go Link</v>
      </c>
      <c r="E1299" s="3" t="s">
        <v>94</v>
      </c>
      <c r="K1299" s="5"/>
    </row>
    <row r="1300">
      <c r="A1300" s="3" t="s">
        <v>1273</v>
      </c>
      <c r="B1300" s="3" t="s">
        <v>1021</v>
      </c>
      <c r="C1300" s="3" t="s">
        <v>1330</v>
      </c>
      <c r="D1300" s="4" t="str">
        <f>HYPERLINK("https://12go.asia/en/travel/chenzhou/zhejiang", "12Go Link")</f>
        <v>12Go Link</v>
      </c>
      <c r="E1300" s="3" t="s">
        <v>94</v>
      </c>
      <c r="K1300" s="5"/>
    </row>
    <row r="1301">
      <c r="A1301" s="3" t="s">
        <v>1086</v>
      </c>
      <c r="B1301" s="3" t="s">
        <v>626</v>
      </c>
      <c r="C1301" s="3" t="s">
        <v>1331</v>
      </c>
      <c r="D1301" s="4" t="str">
        <f>HYPERLINK("https://12go.asia/en/travel/chifeng/huade", "12Go Link")</f>
        <v>12Go Link</v>
      </c>
      <c r="E1301" s="3" t="s">
        <v>94</v>
      </c>
      <c r="K1301" s="5"/>
    </row>
    <row r="1302">
      <c r="A1302" s="3" t="s">
        <v>1086</v>
      </c>
      <c r="B1302" s="3" t="s">
        <v>883</v>
      </c>
      <c r="C1302" s="3" t="s">
        <v>1332</v>
      </c>
      <c r="D1302" s="4" t="str">
        <f>HYPERLINK("https://12go.asia/en/travel/chifeng/taian", "12Go Link")</f>
        <v>12Go Link</v>
      </c>
      <c r="E1302" s="3" t="s">
        <v>94</v>
      </c>
      <c r="K1302" s="5"/>
    </row>
    <row r="1303">
      <c r="A1303" s="3" t="s">
        <v>1333</v>
      </c>
      <c r="B1303" s="3" t="s">
        <v>522</v>
      </c>
      <c r="C1303" s="3" t="s">
        <v>1334</v>
      </c>
      <c r="D1303" s="4" t="str">
        <f>HYPERLINK("https://12go.asia/en/travel/chongqing-west/congjiang", "12Go Link")</f>
        <v>12Go Link</v>
      </c>
      <c r="E1303" s="3" t="s">
        <v>94</v>
      </c>
      <c r="K1303" s="5"/>
    </row>
    <row r="1304">
      <c r="A1304" s="3" t="s">
        <v>1335</v>
      </c>
      <c r="B1304" s="3" t="s">
        <v>643</v>
      </c>
      <c r="C1304" s="3" t="s">
        <v>1336</v>
      </c>
      <c r="D1304" s="4" t="str">
        <f>HYPERLINK("https://12go.asia/en/travel/chuzhou/jiangning", "12Go Link")</f>
        <v>12Go Link</v>
      </c>
      <c r="E1304" s="3" t="s">
        <v>94</v>
      </c>
      <c r="K1304" s="5"/>
    </row>
    <row r="1305">
      <c r="A1305" s="3" t="s">
        <v>1335</v>
      </c>
      <c r="B1305" s="3" t="s">
        <v>538</v>
      </c>
      <c r="C1305" s="3" t="s">
        <v>1337</v>
      </c>
      <c r="D1305" s="4" t="str">
        <f>HYPERLINK("https://12go.asia/en/travel/chuzhou/jiangxi", "12Go Link")</f>
        <v>12Go Link</v>
      </c>
      <c r="E1305" s="3" t="s">
        <v>94</v>
      </c>
      <c r="K1305" s="5"/>
    </row>
    <row r="1306">
      <c r="A1306" s="3" t="s">
        <v>1335</v>
      </c>
      <c r="B1306" s="3" t="s">
        <v>874</v>
      </c>
      <c r="C1306" s="3" t="s">
        <v>1338</v>
      </c>
      <c r="D1306" s="4" t="str">
        <f>HYPERLINK("https://12go.asia/en/travel/chuzhou-north/nanchang", "12Go Link")</f>
        <v>12Go Link</v>
      </c>
      <c r="E1306" s="3" t="s">
        <v>94</v>
      </c>
      <c r="K1306" s="5"/>
    </row>
    <row r="1307">
      <c r="A1307" s="3" t="s">
        <v>1335</v>
      </c>
      <c r="B1307" s="3" t="s">
        <v>874</v>
      </c>
      <c r="C1307" s="3" t="s">
        <v>1339</v>
      </c>
      <c r="D1307" s="4" t="str">
        <f>HYPERLINK("https://12go.asia/en/travel/chuzhou/nanchang", "12Go Link")</f>
        <v>12Go Link</v>
      </c>
      <c r="E1307" s="3" t="s">
        <v>94</v>
      </c>
      <c r="K1307" s="5"/>
    </row>
    <row r="1308">
      <c r="A1308" s="3" t="s">
        <v>1335</v>
      </c>
      <c r="B1308" s="3" t="s">
        <v>874</v>
      </c>
      <c r="C1308" s="3" t="s">
        <v>1340</v>
      </c>
      <c r="D1308" s="4" t="str">
        <f>HYPERLINK("https://12go.asia/en/travel/chuzhou/nanchang-west", "12Go Link")</f>
        <v>12Go Link</v>
      </c>
      <c r="E1308" s="3" t="s">
        <v>94</v>
      </c>
      <c r="K1308" s="5"/>
    </row>
    <row r="1309">
      <c r="A1309" s="3" t="s">
        <v>1341</v>
      </c>
      <c r="B1309" s="3" t="s">
        <v>1342</v>
      </c>
      <c r="C1309" s="3" t="s">
        <v>1343</v>
      </c>
      <c r="D1309" s="4" t="str">
        <f>HYPERLINK("https://12go.asia/en/travel/dali-yunnan/lincang", "12Go Link")</f>
        <v>12Go Link</v>
      </c>
      <c r="E1309" s="3" t="s">
        <v>94</v>
      </c>
      <c r="K1309" s="5"/>
    </row>
    <row r="1310">
      <c r="A1310" s="3" t="s">
        <v>1341</v>
      </c>
      <c r="B1310" s="3" t="s">
        <v>1342</v>
      </c>
      <c r="C1310" s="3" t="s">
        <v>1344</v>
      </c>
      <c r="D1310" s="4" t="str">
        <f>HYPERLINK("https://12go.asia/en/travel/dali/lincang", "12Go Link")</f>
        <v>12Go Link</v>
      </c>
      <c r="E1310" s="3" t="s">
        <v>94</v>
      </c>
      <c r="K1310" s="5"/>
    </row>
    <row r="1311">
      <c r="A1311" s="3" t="s">
        <v>1341</v>
      </c>
      <c r="B1311" s="3" t="s">
        <v>1345</v>
      </c>
      <c r="C1311" s="3" t="s">
        <v>1346</v>
      </c>
      <c r="D1311" s="4" t="str">
        <f>HYPERLINK("https://12go.asia/en/travel/dali-yunnan/xiaozhongdian", "12Go Link")</f>
        <v>12Go Link</v>
      </c>
      <c r="E1311" s="3" t="s">
        <v>94</v>
      </c>
      <c r="K1311" s="5"/>
    </row>
    <row r="1312">
      <c r="A1312" s="3" t="s">
        <v>1347</v>
      </c>
      <c r="B1312" s="3" t="s">
        <v>732</v>
      </c>
      <c r="C1312" s="3" t="s">
        <v>1348</v>
      </c>
      <c r="D1312" s="4" t="str">
        <f>HYPERLINK("https://12go.asia/en/travel/dandong/tangshan", "12Go Link")</f>
        <v>12Go Link</v>
      </c>
      <c r="E1312" s="3" t="s">
        <v>94</v>
      </c>
      <c r="K1312" s="5"/>
    </row>
    <row r="1313">
      <c r="A1313" s="3" t="s">
        <v>1347</v>
      </c>
      <c r="B1313" s="3" t="s">
        <v>823</v>
      </c>
      <c r="C1313" s="3" t="s">
        <v>1349</v>
      </c>
      <c r="D1313" s="4" t="str">
        <f>HYPERLINK("https://12go.asia/en/travel/dandong/tianjin", "12Go Link")</f>
        <v>12Go Link</v>
      </c>
      <c r="E1313" s="3" t="s">
        <v>94</v>
      </c>
      <c r="K1313" s="5"/>
    </row>
    <row r="1314">
      <c r="A1314" s="3" t="s">
        <v>1347</v>
      </c>
      <c r="B1314" s="3" t="s">
        <v>823</v>
      </c>
      <c r="C1314" s="3" t="s">
        <v>1350</v>
      </c>
      <c r="D1314" s="4" t="str">
        <f>HYPERLINK("https://12go.asia/en/travel/dandong/tianjin-west", "12Go Link")</f>
        <v>12Go Link</v>
      </c>
      <c r="E1314" s="3" t="s">
        <v>94</v>
      </c>
      <c r="K1314" s="5"/>
    </row>
    <row r="1315">
      <c r="A1315" s="3" t="s">
        <v>604</v>
      </c>
      <c r="B1315" s="3" t="s">
        <v>554</v>
      </c>
      <c r="C1315" s="3" t="s">
        <v>1351</v>
      </c>
      <c r="D1315" s="4" t="str">
        <f>HYPERLINK("https://12go.asia/en/travel/daqing-east/shenyang", "12Go Link")</f>
        <v>12Go Link</v>
      </c>
      <c r="E1315" s="3" t="s">
        <v>94</v>
      </c>
      <c r="K1315" s="5"/>
    </row>
    <row r="1316">
      <c r="A1316" s="3" t="s">
        <v>604</v>
      </c>
      <c r="B1316" s="3" t="s">
        <v>554</v>
      </c>
      <c r="C1316" s="3" t="s">
        <v>1352</v>
      </c>
      <c r="D1316" s="4" t="str">
        <f>HYPERLINK("https://12go.asia/en/travel/daqing-east/shenyang-north", "12Go Link")</f>
        <v>12Go Link</v>
      </c>
      <c r="E1316" s="3" t="s">
        <v>94</v>
      </c>
      <c r="K1316" s="5"/>
    </row>
    <row r="1317">
      <c r="A1317" s="3" t="s">
        <v>604</v>
      </c>
      <c r="B1317" s="3" t="s">
        <v>554</v>
      </c>
      <c r="C1317" s="3" t="s">
        <v>1353</v>
      </c>
      <c r="D1317" s="4" t="str">
        <f>HYPERLINK("https://12go.asia/en/travel/daqing-east/shenyang-south", "12Go Link")</f>
        <v>12Go Link</v>
      </c>
      <c r="E1317" s="3" t="s">
        <v>94</v>
      </c>
      <c r="K1317" s="5"/>
    </row>
    <row r="1318">
      <c r="A1318" s="3" t="s">
        <v>604</v>
      </c>
      <c r="B1318" s="3" t="s">
        <v>554</v>
      </c>
      <c r="C1318" s="3" t="s">
        <v>1354</v>
      </c>
      <c r="D1318" s="4" t="str">
        <f>HYPERLINK("https://12go.asia/en/travel/daqing/shenyang", "12Go Link")</f>
        <v>12Go Link</v>
      </c>
      <c r="E1318" s="3" t="s">
        <v>94</v>
      </c>
      <c r="K1318" s="5"/>
    </row>
    <row r="1319">
      <c r="A1319" s="3" t="s">
        <v>604</v>
      </c>
      <c r="B1319" s="3" t="s">
        <v>554</v>
      </c>
      <c r="C1319" s="3" t="s">
        <v>1355</v>
      </c>
      <c r="D1319" s="4" t="str">
        <f>HYPERLINK("https://12go.asia/en/travel/daqing/shenyang-north", "12Go Link")</f>
        <v>12Go Link</v>
      </c>
      <c r="E1319" s="3" t="s">
        <v>94</v>
      </c>
      <c r="K1319" s="5"/>
    </row>
    <row r="1320">
      <c r="A1320" s="3" t="s">
        <v>609</v>
      </c>
      <c r="B1320" s="3" t="s">
        <v>745</v>
      </c>
      <c r="C1320" s="3" t="s">
        <v>1356</v>
      </c>
      <c r="D1320" s="4" t="str">
        <f>HYPERLINK("https://12go.asia/en/travel/dongcheng-south/changsha", "12Go Link")</f>
        <v>12Go Link</v>
      </c>
      <c r="E1320" s="3" t="s">
        <v>94</v>
      </c>
      <c r="K1320" s="5"/>
    </row>
    <row r="1321">
      <c r="A1321" s="3" t="s">
        <v>609</v>
      </c>
      <c r="B1321" s="3" t="s">
        <v>841</v>
      </c>
      <c r="C1321" s="3" t="s">
        <v>1357</v>
      </c>
      <c r="D1321" s="4" t="str">
        <f>HYPERLINK("https://12go.asia/en/travel/dongcheng-south/chengdu", "12Go Link")</f>
        <v>12Go Link</v>
      </c>
      <c r="E1321" s="3" t="s">
        <v>94</v>
      </c>
      <c r="K1321" s="5"/>
    </row>
    <row r="1322">
      <c r="A1322" s="3" t="s">
        <v>609</v>
      </c>
      <c r="B1322" s="3" t="s">
        <v>1273</v>
      </c>
      <c r="C1322" s="3" t="s">
        <v>1358</v>
      </c>
      <c r="D1322" s="4" t="str">
        <f>HYPERLINK("https://12go.asia/en/travel/dongcheng-south/chenzhou", "12Go Link")</f>
        <v>12Go Link</v>
      </c>
      <c r="E1322" s="3" t="s">
        <v>94</v>
      </c>
      <c r="K1322" s="5"/>
    </row>
    <row r="1323">
      <c r="A1323" s="3" t="s">
        <v>609</v>
      </c>
      <c r="B1323" s="3" t="s">
        <v>1333</v>
      </c>
      <c r="C1323" s="3" t="s">
        <v>1359</v>
      </c>
      <c r="D1323" s="4" t="str">
        <f>HYPERLINK("https://12go.asia/en/travel/dongcheng-south/chongqing", "12Go Link")</f>
        <v>12Go Link</v>
      </c>
      <c r="E1323" s="3" t="s">
        <v>94</v>
      </c>
      <c r="K1323" s="5"/>
    </row>
    <row r="1324">
      <c r="A1324" s="3" t="s">
        <v>609</v>
      </c>
      <c r="B1324" s="3" t="s">
        <v>1360</v>
      </c>
      <c r="C1324" s="3" t="s">
        <v>1361</v>
      </c>
      <c r="D1324" s="4" t="str">
        <f>HYPERLINK("https://12go.asia/en/travel/dongcheng-south/fujian", "12Go Link")</f>
        <v>12Go Link</v>
      </c>
      <c r="E1324" s="3" t="s">
        <v>94</v>
      </c>
      <c r="K1324" s="5"/>
    </row>
    <row r="1325">
      <c r="A1325" s="3" t="s">
        <v>609</v>
      </c>
      <c r="B1325" s="3" t="s">
        <v>1362</v>
      </c>
      <c r="C1325" s="3" t="s">
        <v>1363</v>
      </c>
      <c r="D1325" s="4" t="str">
        <f>HYPERLINK("https://12go.asia/en/travel/dongcheng-south/fuzhou", "12Go Link")</f>
        <v>12Go Link</v>
      </c>
      <c r="E1325" s="3" t="s">
        <v>94</v>
      </c>
      <c r="K1325" s="5"/>
    </row>
    <row r="1326">
      <c r="A1326" s="3" t="s">
        <v>609</v>
      </c>
      <c r="B1326" s="3" t="s">
        <v>1364</v>
      </c>
      <c r="C1326" s="3" t="s">
        <v>1365</v>
      </c>
      <c r="D1326" s="4" t="str">
        <f>HYPERLINK("https://12go.asia/en/travel/dongcheng-south/guangdong", "12Go Link")</f>
        <v>12Go Link</v>
      </c>
      <c r="E1326" s="3" t="s">
        <v>94</v>
      </c>
      <c r="K1326" s="5"/>
    </row>
    <row r="1327">
      <c r="A1327" s="3" t="s">
        <v>609</v>
      </c>
      <c r="B1327" s="3" t="s">
        <v>1366</v>
      </c>
      <c r="C1327" s="3" t="s">
        <v>1367</v>
      </c>
      <c r="D1327" s="4" t="str">
        <f>HYPERLINK("https://12go.asia/en/travel/dongcheng-south/guangzhou", "12Go Link")</f>
        <v>12Go Link</v>
      </c>
      <c r="E1327" s="3" t="s">
        <v>94</v>
      </c>
      <c r="K1327" s="5"/>
    </row>
    <row r="1328">
      <c r="A1328" s="3" t="s">
        <v>609</v>
      </c>
      <c r="B1328" s="3" t="s">
        <v>1033</v>
      </c>
      <c r="C1328" s="3" t="s">
        <v>1368</v>
      </c>
      <c r="D1328" s="4" t="str">
        <f>HYPERLINK("https://12go.asia/en/travel/dongcheng-south/henan", "12Go Link")</f>
        <v>12Go Link</v>
      </c>
      <c r="E1328" s="3" t="s">
        <v>94</v>
      </c>
      <c r="K1328" s="5"/>
    </row>
    <row r="1329">
      <c r="A1329" s="3" t="s">
        <v>609</v>
      </c>
      <c r="B1329" s="3" t="s">
        <v>1369</v>
      </c>
      <c r="C1329" s="3" t="s">
        <v>1370</v>
      </c>
      <c r="D1329" s="4" t="str">
        <f>HYPERLINK("https://12go.asia/en/travel/dongcheng-south/hengyang", "12Go Link")</f>
        <v>12Go Link</v>
      </c>
      <c r="E1329" s="3" t="s">
        <v>94</v>
      </c>
      <c r="K1329" s="5"/>
    </row>
    <row r="1330">
      <c r="A1330" s="3" t="s">
        <v>609</v>
      </c>
      <c r="B1330" s="3" t="s">
        <v>624</v>
      </c>
      <c r="C1330" s="3" t="s">
        <v>1371</v>
      </c>
      <c r="D1330" s="4" t="str">
        <f>HYPERLINK("https://12go.asia/en/travel/dongcheng-south/hong-kong-island", "12Go Link")</f>
        <v>12Go Link</v>
      </c>
      <c r="E1330" s="3" t="s">
        <v>94</v>
      </c>
      <c r="K1330" s="5"/>
    </row>
    <row r="1331">
      <c r="A1331" s="3" t="s">
        <v>609</v>
      </c>
      <c r="B1331" s="3" t="s">
        <v>1372</v>
      </c>
      <c r="C1331" s="3" t="s">
        <v>1373</v>
      </c>
      <c r="D1331" s="4" t="str">
        <f>HYPERLINK("https://12go.asia/en/travel/dongcheng-south/hong-kong-west-kowloon", "12Go Link")</f>
        <v>12Go Link</v>
      </c>
      <c r="E1331" s="3" t="s">
        <v>94</v>
      </c>
      <c r="K1331" s="5"/>
    </row>
    <row r="1332">
      <c r="A1332" s="3" t="s">
        <v>609</v>
      </c>
      <c r="B1332" s="3" t="s">
        <v>1374</v>
      </c>
      <c r="C1332" s="3" t="s">
        <v>1375</v>
      </c>
      <c r="D1332" s="4" t="str">
        <f>HYPERLINK("https://12go.asia/en/travel/dongcheng-south/huaihua", "12Go Link")</f>
        <v>12Go Link</v>
      </c>
      <c r="E1332" s="3" t="s">
        <v>94</v>
      </c>
      <c r="K1332" s="5"/>
    </row>
    <row r="1333">
      <c r="A1333" s="3" t="s">
        <v>609</v>
      </c>
      <c r="B1333" s="3" t="s">
        <v>632</v>
      </c>
      <c r="C1333" s="3" t="s">
        <v>1376</v>
      </c>
      <c r="D1333" s="4" t="str">
        <f>HYPERLINK("https://12go.asia/en/travel/dongcheng-south/huaxi", "12Go Link")</f>
        <v>12Go Link</v>
      </c>
      <c r="E1333" s="3" t="s">
        <v>94</v>
      </c>
      <c r="K1333" s="5"/>
    </row>
    <row r="1334">
      <c r="A1334" s="3" t="s">
        <v>609</v>
      </c>
      <c r="B1334" s="3" t="s">
        <v>534</v>
      </c>
      <c r="C1334" s="3" t="s">
        <v>1377</v>
      </c>
      <c r="D1334" s="4" t="str">
        <f>HYPERLINK("https://12go.asia/en/travel/dongcheng-south/hubei", "12Go Link")</f>
        <v>12Go Link</v>
      </c>
      <c r="E1334" s="3" t="s">
        <v>94</v>
      </c>
      <c r="K1334" s="5"/>
    </row>
    <row r="1335">
      <c r="A1335" s="3" t="s">
        <v>609</v>
      </c>
      <c r="B1335" s="3" t="s">
        <v>954</v>
      </c>
      <c r="C1335" s="3" t="s">
        <v>1378</v>
      </c>
      <c r="D1335" s="4" t="str">
        <f>HYPERLINK("https://12go.asia/en/travel/dongcheng-south/huidong", "12Go Link")</f>
        <v>12Go Link</v>
      </c>
      <c r="E1335" s="3" t="s">
        <v>94</v>
      </c>
      <c r="K1335" s="5"/>
    </row>
    <row r="1336">
      <c r="A1336" s="3" t="s">
        <v>609</v>
      </c>
      <c r="B1336" s="3" t="s">
        <v>957</v>
      </c>
      <c r="C1336" s="3" t="s">
        <v>1379</v>
      </c>
      <c r="D1336" s="4" t="str">
        <f>HYPERLINK("https://12go.asia/en/travel/dongcheng-south/huiyang-district", "12Go Link")</f>
        <v>12Go Link</v>
      </c>
      <c r="E1336" s="3" t="s">
        <v>94</v>
      </c>
      <c r="K1336" s="5"/>
    </row>
    <row r="1337">
      <c r="A1337" s="3" t="s">
        <v>609</v>
      </c>
      <c r="B1337" s="3" t="s">
        <v>536</v>
      </c>
      <c r="C1337" s="3" t="s">
        <v>1380</v>
      </c>
      <c r="D1337" s="4" t="str">
        <f>HYPERLINK("https://12go.asia/en/travel/dongcheng-south/hunan", "12Go Link")</f>
        <v>12Go Link</v>
      </c>
      <c r="E1337" s="3" t="s">
        <v>94</v>
      </c>
      <c r="K1337" s="5"/>
    </row>
    <row r="1338">
      <c r="A1338" s="3" t="s">
        <v>609</v>
      </c>
      <c r="B1338" s="3" t="s">
        <v>540</v>
      </c>
      <c r="C1338" s="3" t="s">
        <v>1381</v>
      </c>
      <c r="D1338" s="4" t="str">
        <f>HYPERLINK("https://12go.asia/en/travel/dongcheng-south/jiangzhou", "12Go Link")</f>
        <v>12Go Link</v>
      </c>
      <c r="E1338" s="3" t="s">
        <v>94</v>
      </c>
      <c r="K1338" s="5"/>
    </row>
    <row r="1339">
      <c r="A1339" s="3" t="s">
        <v>609</v>
      </c>
      <c r="B1339" s="3" t="s">
        <v>542</v>
      </c>
      <c r="C1339" s="3" t="s">
        <v>1382</v>
      </c>
      <c r="D1339" s="4" t="str">
        <f>HYPERLINK("https://12go.asia/en/travel/dongcheng-south/jiaocheng", "12Go Link")</f>
        <v>12Go Link</v>
      </c>
      <c r="E1339" s="3" t="s">
        <v>94</v>
      </c>
      <c r="K1339" s="5"/>
    </row>
    <row r="1340">
      <c r="A1340" s="3" t="s">
        <v>609</v>
      </c>
      <c r="B1340" s="3" t="s">
        <v>655</v>
      </c>
      <c r="C1340" s="3" t="s">
        <v>1383</v>
      </c>
      <c r="D1340" s="4" t="str">
        <f>HYPERLINK("https://12go.asia/en/travel/dongcheng-south/jiaxiang", "12Go Link")</f>
        <v>12Go Link</v>
      </c>
      <c r="E1340" s="3" t="s">
        <v>94</v>
      </c>
      <c r="K1340" s="5"/>
    </row>
    <row r="1341">
      <c r="A1341" s="3" t="s">
        <v>609</v>
      </c>
      <c r="B1341" s="3" t="s">
        <v>1384</v>
      </c>
      <c r="C1341" s="3" t="s">
        <v>1385</v>
      </c>
      <c r="D1341" s="4" t="str">
        <f>HYPERLINK("https://12go.asia/en/travel/dongcheng-south/longyan", "12Go Link")</f>
        <v>12Go Link</v>
      </c>
      <c r="E1341" s="3" t="s">
        <v>94</v>
      </c>
      <c r="K1341" s="5"/>
    </row>
    <row r="1342">
      <c r="A1342" s="3" t="s">
        <v>609</v>
      </c>
      <c r="B1342" s="3" t="s">
        <v>1386</v>
      </c>
      <c r="C1342" s="3" t="s">
        <v>1387</v>
      </c>
      <c r="D1342" s="4" t="str">
        <f>HYPERLINK("https://12go.asia/en/travel/dongcheng-south/luoyang", "12Go Link")</f>
        <v>12Go Link</v>
      </c>
      <c r="E1342" s="3" t="s">
        <v>94</v>
      </c>
      <c r="K1342" s="5"/>
    </row>
    <row r="1343">
      <c r="A1343" s="3" t="s">
        <v>609</v>
      </c>
      <c r="B1343" s="3" t="s">
        <v>874</v>
      </c>
      <c r="C1343" s="3" t="s">
        <v>1388</v>
      </c>
      <c r="D1343" s="4" t="str">
        <f>HYPERLINK("https://12go.asia/en/travel/dongcheng-south/nanchang", "12Go Link")</f>
        <v>12Go Link</v>
      </c>
      <c r="E1343" s="3" t="s">
        <v>94</v>
      </c>
      <c r="K1343" s="5"/>
    </row>
    <row r="1344">
      <c r="A1344" s="3" t="s">
        <v>609</v>
      </c>
      <c r="B1344" s="3" t="s">
        <v>546</v>
      </c>
      <c r="C1344" s="3" t="s">
        <v>1389</v>
      </c>
      <c r="D1344" s="4" t="str">
        <f>HYPERLINK("https://12go.asia/en/travel/dongcheng-south/nanyang", "12Go Link")</f>
        <v>12Go Link</v>
      </c>
      <c r="E1344" s="3" t="s">
        <v>94</v>
      </c>
      <c r="K1344" s="5"/>
    </row>
    <row r="1345">
      <c r="A1345" s="3" t="s">
        <v>609</v>
      </c>
      <c r="B1345" s="3" t="s">
        <v>1390</v>
      </c>
      <c r="C1345" s="3" t="s">
        <v>1391</v>
      </c>
      <c r="D1345" s="4" t="str">
        <f>HYPERLINK("https://12go.asia/en/travel/dongcheng-south/puning", "12Go Link")</f>
        <v>12Go Link</v>
      </c>
      <c r="E1345" s="3" t="s">
        <v>94</v>
      </c>
      <c r="K1345" s="5"/>
    </row>
    <row r="1346">
      <c r="A1346" s="3" t="s">
        <v>609</v>
      </c>
      <c r="B1346" s="3" t="s">
        <v>1220</v>
      </c>
      <c r="C1346" s="3" t="s">
        <v>1392</v>
      </c>
      <c r="D1346" s="4" t="str">
        <f>HYPERLINK("https://12go.asia/en/travel/dongcheng-south/quanzhou", "12Go Link")</f>
        <v>12Go Link</v>
      </c>
      <c r="E1346" s="3" t="s">
        <v>94</v>
      </c>
      <c r="K1346" s="5"/>
    </row>
    <row r="1347">
      <c r="A1347" s="3" t="s">
        <v>609</v>
      </c>
      <c r="B1347" s="3" t="s">
        <v>552</v>
      </c>
      <c r="C1347" s="3" t="s">
        <v>1393</v>
      </c>
      <c r="D1347" s="4" t="str">
        <f>HYPERLINK("https://12go.asia/en/travel/dongcheng-south/shaanxi", "12Go Link")</f>
        <v>12Go Link</v>
      </c>
      <c r="E1347" s="3" t="s">
        <v>94</v>
      </c>
      <c r="K1347" s="5"/>
    </row>
    <row r="1348">
      <c r="A1348" s="3" t="s">
        <v>609</v>
      </c>
      <c r="B1348" s="3" t="s">
        <v>694</v>
      </c>
      <c r="C1348" s="3" t="s">
        <v>1394</v>
      </c>
      <c r="D1348" s="4" t="str">
        <f>HYPERLINK("https://12go.asia/en/travel/dongcheng-south/shaoguan", "12Go Link")</f>
        <v>12Go Link</v>
      </c>
      <c r="E1348" s="3" t="s">
        <v>94</v>
      </c>
      <c r="K1348" s="5"/>
    </row>
    <row r="1349">
      <c r="A1349" s="3" t="s">
        <v>609</v>
      </c>
      <c r="B1349" s="3" t="s">
        <v>1395</v>
      </c>
      <c r="C1349" s="3" t="s">
        <v>1396</v>
      </c>
      <c r="D1349" s="4" t="str">
        <f>HYPERLINK("https://12go.asia/en/travel/dongcheng-south/shenzhen", "12Go Link")</f>
        <v>12Go Link</v>
      </c>
      <c r="E1349" s="3" t="s">
        <v>94</v>
      </c>
      <c r="K1349" s="5"/>
    </row>
    <row r="1350">
      <c r="A1350" s="3" t="s">
        <v>609</v>
      </c>
      <c r="B1350" s="3" t="s">
        <v>560</v>
      </c>
      <c r="C1350" s="3" t="s">
        <v>1397</v>
      </c>
      <c r="D1350" s="4" t="str">
        <f>HYPERLINK("https://12go.asia/en/travel/dongcheng-south/shuangliu", "12Go Link")</f>
        <v>12Go Link</v>
      </c>
      <c r="E1350" s="3" t="s">
        <v>94</v>
      </c>
      <c r="K1350" s="5"/>
    </row>
    <row r="1351">
      <c r="A1351" s="3" t="s">
        <v>609</v>
      </c>
      <c r="B1351" s="3" t="s">
        <v>700</v>
      </c>
      <c r="C1351" s="3" t="s">
        <v>1398</v>
      </c>
      <c r="D1351" s="4" t="str">
        <f>HYPERLINK("https://12go.asia/en/travel/dongcheng-south/taiyuan", "12Go Link")</f>
        <v>12Go Link</v>
      </c>
      <c r="E1351" s="3" t="s">
        <v>94</v>
      </c>
      <c r="K1351" s="5"/>
    </row>
    <row r="1352">
      <c r="A1352" s="3" t="s">
        <v>609</v>
      </c>
      <c r="B1352" s="3" t="s">
        <v>564</v>
      </c>
      <c r="C1352" s="3" t="s">
        <v>1399</v>
      </c>
      <c r="D1352" s="4" t="str">
        <f>HYPERLINK("https://12go.asia/en/travel/dongcheng-south/tianxin", "12Go Link")</f>
        <v>12Go Link</v>
      </c>
      <c r="E1352" s="3" t="s">
        <v>94</v>
      </c>
      <c r="K1352" s="5"/>
    </row>
    <row r="1353">
      <c r="A1353" s="3" t="s">
        <v>609</v>
      </c>
      <c r="B1353" s="3" t="s">
        <v>566</v>
      </c>
      <c r="C1353" s="3" t="s">
        <v>1400</v>
      </c>
      <c r="D1353" s="4" t="str">
        <f>HYPERLINK("https://12go.asia/en/travel/dongcheng-south/wenjiang", "12Go Link")</f>
        <v>12Go Link</v>
      </c>
      <c r="E1353" s="3" t="s">
        <v>94</v>
      </c>
      <c r="K1353" s="5"/>
    </row>
    <row r="1354">
      <c r="A1354" s="3" t="s">
        <v>609</v>
      </c>
      <c r="B1354" s="3" t="s">
        <v>793</v>
      </c>
      <c r="C1354" s="3" t="s">
        <v>1401</v>
      </c>
      <c r="D1354" s="4" t="str">
        <f>HYPERLINK("https://12go.asia/en/travel/dongcheng-south/wenzhou", "12Go Link")</f>
        <v>12Go Link</v>
      </c>
      <c r="E1354" s="3" t="s">
        <v>94</v>
      </c>
      <c r="K1354" s="5"/>
    </row>
    <row r="1355">
      <c r="A1355" s="3" t="s">
        <v>609</v>
      </c>
      <c r="B1355" s="3" t="s">
        <v>796</v>
      </c>
      <c r="C1355" s="3" t="s">
        <v>1402</v>
      </c>
      <c r="D1355" s="4" t="str">
        <f>HYPERLINK("https://12go.asia/en/travel/dongcheng-south/wuhan", "12Go Link")</f>
        <v>12Go Link</v>
      </c>
      <c r="E1355" s="3" t="s">
        <v>94</v>
      </c>
      <c r="K1355" s="5"/>
    </row>
    <row r="1356">
      <c r="A1356" s="3" t="s">
        <v>609</v>
      </c>
      <c r="B1356" s="3" t="s">
        <v>1403</v>
      </c>
      <c r="C1356" s="3" t="s">
        <v>1404</v>
      </c>
      <c r="D1356" s="4" t="str">
        <f>HYPERLINK("https://12go.asia/en/travel/dongcheng-south/xiamen", "12Go Link")</f>
        <v>12Go Link</v>
      </c>
      <c r="E1356" s="3" t="s">
        <v>94</v>
      </c>
      <c r="K1356" s="5"/>
    </row>
    <row r="1357">
      <c r="A1357" s="3" t="s">
        <v>609</v>
      </c>
      <c r="B1357" s="3" t="s">
        <v>801</v>
      </c>
      <c r="C1357" s="3" t="s">
        <v>1405</v>
      </c>
      <c r="D1357" s="4" t="str">
        <f>HYPERLINK("https://12go.asia/en/travel/dongcheng-south/xian", "12Go Link")</f>
        <v>12Go Link</v>
      </c>
      <c r="E1357" s="3" t="s">
        <v>94</v>
      </c>
      <c r="K1357" s="5"/>
    </row>
    <row r="1358">
      <c r="A1358" s="3" t="s">
        <v>609</v>
      </c>
      <c r="B1358" s="3" t="s">
        <v>1406</v>
      </c>
      <c r="C1358" s="3" t="s">
        <v>1407</v>
      </c>
      <c r="D1358" s="4" t="str">
        <f>HYPERLINK("https://12go.asia/en/travel/dongcheng-south/xiangyang", "12Go Link")</f>
        <v>12Go Link</v>
      </c>
      <c r="E1358" s="3" t="s">
        <v>94</v>
      </c>
      <c r="K1358" s="5"/>
    </row>
    <row r="1359">
      <c r="A1359" s="3" t="s">
        <v>609</v>
      </c>
      <c r="B1359" s="3" t="s">
        <v>1017</v>
      </c>
      <c r="C1359" s="3" t="s">
        <v>1408</v>
      </c>
      <c r="D1359" s="4" t="str">
        <f>HYPERLINK("https://12go.asia/en/travel/dongcheng-south/zengcheng", "12Go Link")</f>
        <v>12Go Link</v>
      </c>
      <c r="E1359" s="3" t="s">
        <v>94</v>
      </c>
      <c r="K1359" s="5"/>
    </row>
    <row r="1360">
      <c r="A1360" s="3" t="s">
        <v>609</v>
      </c>
      <c r="B1360" s="3" t="s">
        <v>585</v>
      </c>
      <c r="C1360" s="3" t="s">
        <v>1409</v>
      </c>
      <c r="D1360" s="4" t="str">
        <f>HYPERLINK("https://12go.asia/en/travel/dongcheng-south/zhengzhou", "12Go Link")</f>
        <v>12Go Link</v>
      </c>
      <c r="E1360" s="3" t="s">
        <v>94</v>
      </c>
      <c r="K1360" s="5"/>
    </row>
    <row r="1361">
      <c r="A1361" s="3" t="s">
        <v>609</v>
      </c>
      <c r="B1361" s="3" t="s">
        <v>1410</v>
      </c>
      <c r="C1361" s="3" t="s">
        <v>1411</v>
      </c>
      <c r="D1361" s="4" t="str">
        <f>HYPERLINK("https://12go.asia/en/travel/dongcheng-south/hong-kong", "12Go Link")</f>
        <v>12Go Link</v>
      </c>
      <c r="E1361" s="3" t="s">
        <v>94</v>
      </c>
      <c r="K1361" s="5"/>
    </row>
    <row r="1362">
      <c r="A1362" s="3" t="s">
        <v>609</v>
      </c>
      <c r="B1362" s="3" t="s">
        <v>1412</v>
      </c>
      <c r="C1362" s="3" t="s">
        <v>1413</v>
      </c>
      <c r="D1362" s="4" t="str">
        <f>HYPERLINK("https://12go.asia/en/travel/dongcheng-south/kowloon", "12Go Link")</f>
        <v>12Go Link</v>
      </c>
      <c r="E1362" s="3" t="s">
        <v>94</v>
      </c>
      <c r="K1362" s="5"/>
    </row>
    <row r="1363">
      <c r="A1363" s="3" t="s">
        <v>611</v>
      </c>
      <c r="B1363" s="3" t="s">
        <v>511</v>
      </c>
      <c r="C1363" s="3" t="s">
        <v>1414</v>
      </c>
      <c r="D1363" s="4" t="str">
        <f>HYPERLINK("https://12go.asia/en/travel/dongguan-east/ankang", "12Go Link")</f>
        <v>12Go Link</v>
      </c>
      <c r="E1363" s="3" t="s">
        <v>94</v>
      </c>
      <c r="K1363" s="5"/>
    </row>
    <row r="1364">
      <c r="A1364" s="3" t="s">
        <v>611</v>
      </c>
      <c r="B1364" s="3" t="s">
        <v>511</v>
      </c>
      <c r="C1364" s="3" t="s">
        <v>1415</v>
      </c>
      <c r="D1364" s="4" t="str">
        <f>HYPERLINK("https://12go.asia/en/travel/dongguan/ankang", "12Go Link")</f>
        <v>12Go Link</v>
      </c>
      <c r="E1364" s="3" t="s">
        <v>94</v>
      </c>
      <c r="K1364" s="5"/>
    </row>
    <row r="1365">
      <c r="A1365" s="3" t="s">
        <v>611</v>
      </c>
      <c r="B1365" s="3" t="s">
        <v>593</v>
      </c>
      <c r="C1365" s="3" t="s">
        <v>1416</v>
      </c>
      <c r="D1365" s="4" t="str">
        <f>HYPERLINK("https://12go.asia/en/travel/dongguan/beijing-west", "12Go Link")</f>
        <v>12Go Link</v>
      </c>
      <c r="E1365" s="3" t="s">
        <v>94</v>
      </c>
      <c r="K1365" s="5"/>
    </row>
    <row r="1366">
      <c r="A1366" s="3" t="s">
        <v>611</v>
      </c>
      <c r="B1366" s="3" t="s">
        <v>831</v>
      </c>
      <c r="C1366" s="3" t="s">
        <v>1417</v>
      </c>
      <c r="D1366" s="4" t="str">
        <f>HYPERLINK("https://12go.asia/en/travel/dongguan-east/changzhou", "12Go Link")</f>
        <v>12Go Link</v>
      </c>
      <c r="E1366" s="3" t="s">
        <v>94</v>
      </c>
      <c r="K1366" s="5"/>
    </row>
    <row r="1367">
      <c r="A1367" s="3" t="s">
        <v>611</v>
      </c>
      <c r="B1367" s="3" t="s">
        <v>831</v>
      </c>
      <c r="C1367" s="3" t="s">
        <v>1418</v>
      </c>
      <c r="D1367" s="4" t="str">
        <f>HYPERLINK("https://12go.asia/en/travel/dongguan/changzhou", "12Go Link")</f>
        <v>12Go Link</v>
      </c>
      <c r="E1367" s="3" t="s">
        <v>94</v>
      </c>
      <c r="K1367" s="5"/>
    </row>
    <row r="1368">
      <c r="A1368" s="3" t="s">
        <v>611</v>
      </c>
      <c r="B1368" s="3" t="s">
        <v>841</v>
      </c>
      <c r="C1368" s="3" t="s">
        <v>1419</v>
      </c>
      <c r="D1368" s="4" t="str">
        <f>HYPERLINK("https://12go.asia/en/travel/dongguan/chengdu-west", "12Go Link")</f>
        <v>12Go Link</v>
      </c>
      <c r="E1368" s="3" t="s">
        <v>94</v>
      </c>
      <c r="K1368" s="5"/>
    </row>
    <row r="1369">
      <c r="A1369" s="3" t="s">
        <v>611</v>
      </c>
      <c r="B1369" s="3" t="s">
        <v>1333</v>
      </c>
      <c r="C1369" s="3" t="s">
        <v>1420</v>
      </c>
      <c r="D1369" s="4" t="str">
        <f>HYPERLINK("https://12go.asia/en/travel/dongguan/chongqing-north", "12Go Link")</f>
        <v>12Go Link</v>
      </c>
      <c r="E1369" s="3" t="s">
        <v>94</v>
      </c>
      <c r="K1369" s="5"/>
    </row>
    <row r="1370">
      <c r="A1370" s="3" t="s">
        <v>611</v>
      </c>
      <c r="B1370" s="3" t="s">
        <v>1421</v>
      </c>
      <c r="C1370" s="3" t="s">
        <v>1422</v>
      </c>
      <c r="D1370" s="4" t="str">
        <f>HYPERLINK("https://12go.asia/en/travel/dongguan-east/fuyang", "12Go Link")</f>
        <v>12Go Link</v>
      </c>
      <c r="E1370" s="3" t="s">
        <v>94</v>
      </c>
      <c r="K1370" s="5"/>
    </row>
    <row r="1371">
      <c r="A1371" s="3" t="s">
        <v>611</v>
      </c>
      <c r="B1371" s="3" t="s">
        <v>1421</v>
      </c>
      <c r="C1371" s="3" t="s">
        <v>1423</v>
      </c>
      <c r="D1371" s="4" t="str">
        <f>HYPERLINK("https://12go.asia/en/travel/dongguan/fuyang-anhui", "12Go Link")</f>
        <v>12Go Link</v>
      </c>
      <c r="E1371" s="3" t="s">
        <v>94</v>
      </c>
      <c r="K1371" s="5"/>
    </row>
    <row r="1372">
      <c r="A1372" s="3" t="s">
        <v>611</v>
      </c>
      <c r="B1372" s="3" t="s">
        <v>1133</v>
      </c>
      <c r="C1372" s="3" t="s">
        <v>1424</v>
      </c>
      <c r="D1372" s="4" t="str">
        <f>HYPERLINK("https://12go.asia/en/travel/dongguan-east/hanzhong", "12Go Link")</f>
        <v>12Go Link</v>
      </c>
      <c r="E1372" s="3" t="s">
        <v>94</v>
      </c>
      <c r="K1372" s="5"/>
    </row>
    <row r="1373">
      <c r="A1373" s="3" t="s">
        <v>611</v>
      </c>
      <c r="B1373" s="3" t="s">
        <v>1133</v>
      </c>
      <c r="C1373" s="3" t="s">
        <v>1425</v>
      </c>
      <c r="D1373" s="4" t="str">
        <f>HYPERLINK("https://12go.asia/en/travel/dongguan/hanzhong", "12Go Link")</f>
        <v>12Go Link</v>
      </c>
      <c r="E1373" s="3" t="s">
        <v>94</v>
      </c>
      <c r="K1373" s="5"/>
    </row>
    <row r="1374">
      <c r="A1374" s="3" t="s">
        <v>611</v>
      </c>
      <c r="B1374" s="3" t="s">
        <v>1081</v>
      </c>
      <c r="C1374" s="3" t="s">
        <v>1426</v>
      </c>
      <c r="D1374" s="4" t="str">
        <f>HYPERLINK("https://12go.asia/en/travel/dongguan-east/hefei", "12Go Link")</f>
        <v>12Go Link</v>
      </c>
      <c r="E1374" s="3" t="s">
        <v>94</v>
      </c>
      <c r="K1374" s="5"/>
    </row>
    <row r="1375">
      <c r="A1375" s="3" t="s">
        <v>611</v>
      </c>
      <c r="B1375" s="3" t="s">
        <v>1081</v>
      </c>
      <c r="C1375" s="3" t="s">
        <v>1427</v>
      </c>
      <c r="D1375" s="4" t="str">
        <f>HYPERLINK("https://12go.asia/en/travel/dongguan/hefei", "12Go Link")</f>
        <v>12Go Link</v>
      </c>
      <c r="E1375" s="3" t="s">
        <v>94</v>
      </c>
      <c r="K1375" s="5"/>
    </row>
    <row r="1376">
      <c r="A1376" s="3" t="s">
        <v>611</v>
      </c>
      <c r="B1376" s="3" t="s">
        <v>532</v>
      </c>
      <c r="C1376" s="3" t="s">
        <v>1428</v>
      </c>
      <c r="D1376" s="4" t="str">
        <f>HYPERLINK("https://12go.asia/en/travel/dongguan/heilongjiang", "12Go Link")</f>
        <v>12Go Link</v>
      </c>
      <c r="E1376" s="3" t="s">
        <v>94</v>
      </c>
      <c r="K1376" s="5"/>
    </row>
    <row r="1377">
      <c r="A1377" s="3" t="s">
        <v>611</v>
      </c>
      <c r="B1377" s="3" t="s">
        <v>1429</v>
      </c>
      <c r="C1377" s="3" t="s">
        <v>1430</v>
      </c>
      <c r="D1377" s="4" t="str">
        <f>HYPERLINK("https://12go.asia/en/travel/dongguan-east/heyuan", "12Go Link")</f>
        <v>12Go Link</v>
      </c>
      <c r="E1377" s="3" t="s">
        <v>94</v>
      </c>
      <c r="K1377" s="5"/>
    </row>
    <row r="1378">
      <c r="A1378" s="3" t="s">
        <v>611</v>
      </c>
      <c r="B1378" s="3" t="s">
        <v>1429</v>
      </c>
      <c r="C1378" s="3" t="s">
        <v>1431</v>
      </c>
      <c r="D1378" s="4" t="str">
        <f>HYPERLINK("https://12go.asia/en/travel/dongguan/heyuan", "12Go Link")</f>
        <v>12Go Link</v>
      </c>
      <c r="E1378" s="3" t="s">
        <v>94</v>
      </c>
      <c r="K1378" s="5"/>
    </row>
    <row r="1379">
      <c r="A1379" s="3" t="s">
        <v>611</v>
      </c>
      <c r="B1379" s="3" t="s">
        <v>758</v>
      </c>
      <c r="C1379" s="3" t="s">
        <v>1432</v>
      </c>
      <c r="D1379" s="4" t="str">
        <f>HYPERLINK("https://12go.asia/en/travel/dongguan-east/heze", "12Go Link")</f>
        <v>12Go Link</v>
      </c>
      <c r="E1379" s="3" t="s">
        <v>94</v>
      </c>
      <c r="K1379" s="5"/>
    </row>
    <row r="1380">
      <c r="A1380" s="3" t="s">
        <v>611</v>
      </c>
      <c r="B1380" s="3" t="s">
        <v>758</v>
      </c>
      <c r="C1380" s="3" t="s">
        <v>1433</v>
      </c>
      <c r="D1380" s="4" t="str">
        <f>HYPERLINK("https://12go.asia/en/travel/dongguan/heze", "12Go Link")</f>
        <v>12Go Link</v>
      </c>
      <c r="E1380" s="3" t="s">
        <v>94</v>
      </c>
      <c r="K1380" s="5"/>
    </row>
    <row r="1381">
      <c r="A1381" s="3" t="s">
        <v>611</v>
      </c>
      <c r="B1381" s="3" t="s">
        <v>624</v>
      </c>
      <c r="C1381" s="3" t="s">
        <v>1434</v>
      </c>
      <c r="D1381" s="4" t="str">
        <f>HYPERLINK("https://12go.asia/en/travel/dongguan/hong-kong-island", "12Go Link")</f>
        <v>12Go Link</v>
      </c>
      <c r="E1381" s="3" t="s">
        <v>94</v>
      </c>
      <c r="K1381" s="5"/>
    </row>
    <row r="1382">
      <c r="A1382" s="3" t="s">
        <v>611</v>
      </c>
      <c r="B1382" s="3" t="s">
        <v>1372</v>
      </c>
      <c r="C1382" s="3" t="s">
        <v>1435</v>
      </c>
      <c r="D1382" s="4" t="str">
        <f>HYPERLINK("https://12go.asia/en/travel/dongguan-south/hong-kong-west-kowloon", "12Go Link")</f>
        <v>12Go Link</v>
      </c>
      <c r="E1382" s="3" t="s">
        <v>94</v>
      </c>
      <c r="K1382" s="5"/>
    </row>
    <row r="1383">
      <c r="A1383" s="3" t="s">
        <v>611</v>
      </c>
      <c r="B1383" s="3" t="s">
        <v>1374</v>
      </c>
      <c r="C1383" s="3" t="s">
        <v>1436</v>
      </c>
      <c r="D1383" s="4" t="str">
        <f>HYPERLINK("https://12go.asia/en/travel/dongguan/huaihua", "12Go Link")</f>
        <v>12Go Link</v>
      </c>
      <c r="E1383" s="3" t="s">
        <v>94</v>
      </c>
      <c r="K1383" s="5"/>
    </row>
    <row r="1384">
      <c r="A1384" s="3" t="s">
        <v>611</v>
      </c>
      <c r="B1384" s="3" t="s">
        <v>632</v>
      </c>
      <c r="C1384" s="3" t="s">
        <v>1437</v>
      </c>
      <c r="D1384" s="4" t="str">
        <f>HYPERLINK("https://12go.asia/en/travel/dongguan-east/guangzhoubaiyun", "12Go Link")</f>
        <v>12Go Link</v>
      </c>
      <c r="E1384" s="3" t="s">
        <v>94</v>
      </c>
      <c r="K1384" s="5"/>
    </row>
    <row r="1385">
      <c r="A1385" s="3" t="s">
        <v>611</v>
      </c>
      <c r="B1385" s="3" t="s">
        <v>632</v>
      </c>
      <c r="C1385" s="3" t="s">
        <v>1438</v>
      </c>
      <c r="D1385" s="4" t="str">
        <f>HYPERLINK("https://12go.asia/en/travel/dongguan/guangzhoubaiyun", "12Go Link")</f>
        <v>12Go Link</v>
      </c>
      <c r="E1385" s="3" t="s">
        <v>94</v>
      </c>
      <c r="K1385" s="5"/>
    </row>
    <row r="1386">
      <c r="A1386" s="3" t="s">
        <v>611</v>
      </c>
      <c r="B1386" s="3" t="s">
        <v>632</v>
      </c>
      <c r="C1386" s="3" t="s">
        <v>1439</v>
      </c>
      <c r="D1386" s="4" t="str">
        <f>HYPERLINK("https://12go.asia/en/travel/dongguan/huaxi", "12Go Link")</f>
        <v>12Go Link</v>
      </c>
      <c r="E1386" s="3" t="s">
        <v>94</v>
      </c>
      <c r="K1386" s="5"/>
    </row>
    <row r="1387">
      <c r="A1387" s="3" t="s">
        <v>611</v>
      </c>
      <c r="B1387" s="3" t="s">
        <v>954</v>
      </c>
      <c r="C1387" s="3" t="s">
        <v>1440</v>
      </c>
      <c r="D1387" s="4" t="str">
        <f>HYPERLINK("https://12go.asia/en/travel/dongguan/huidong", "12Go Link")</f>
        <v>12Go Link</v>
      </c>
      <c r="E1387" s="3" t="s">
        <v>94</v>
      </c>
      <c r="K1387" s="5"/>
    </row>
    <row r="1388">
      <c r="A1388" s="3" t="s">
        <v>611</v>
      </c>
      <c r="B1388" s="3" t="s">
        <v>954</v>
      </c>
      <c r="C1388" s="3" t="s">
        <v>1441</v>
      </c>
      <c r="D1388" s="4" t="str">
        <f>HYPERLINK("https://12go.asia/en/travel/dongguan/huidong-south", "12Go Link")</f>
        <v>12Go Link</v>
      </c>
      <c r="E1388" s="3" t="s">
        <v>94</v>
      </c>
      <c r="K1388" s="5"/>
    </row>
    <row r="1389">
      <c r="A1389" s="3" t="s">
        <v>611</v>
      </c>
      <c r="B1389" s="3" t="s">
        <v>957</v>
      </c>
      <c r="C1389" s="3" t="s">
        <v>1442</v>
      </c>
      <c r="D1389" s="4" t="str">
        <f>HYPERLINK("https://12go.asia/en/travel/dongguan/huiyang", "12Go Link")</f>
        <v>12Go Link</v>
      </c>
      <c r="E1389" s="3" t="s">
        <v>94</v>
      </c>
      <c r="K1389" s="5"/>
    </row>
    <row r="1390">
      <c r="A1390" s="3" t="s">
        <v>611</v>
      </c>
      <c r="B1390" s="3" t="s">
        <v>957</v>
      </c>
      <c r="C1390" s="3" t="s">
        <v>1443</v>
      </c>
      <c r="D1390" s="4" t="str">
        <f>HYPERLINK("https://12go.asia/en/travel/dongguan/huiyang-district", "12Go Link")</f>
        <v>12Go Link</v>
      </c>
      <c r="E1390" s="3" t="s">
        <v>94</v>
      </c>
      <c r="K1390" s="5"/>
    </row>
    <row r="1391">
      <c r="A1391" s="3" t="s">
        <v>611</v>
      </c>
      <c r="B1391" s="3" t="s">
        <v>536</v>
      </c>
      <c r="C1391" s="3" t="s">
        <v>1444</v>
      </c>
      <c r="D1391" s="4" t="str">
        <f>HYPERLINK("https://12go.asia/en/travel/dongguan/hunan", "12Go Link")</f>
        <v>12Go Link</v>
      </c>
      <c r="E1391" s="3" t="s">
        <v>94</v>
      </c>
      <c r="K1391" s="5"/>
    </row>
    <row r="1392">
      <c r="A1392" s="3" t="s">
        <v>611</v>
      </c>
      <c r="B1392" s="3" t="s">
        <v>639</v>
      </c>
      <c r="C1392" s="3" t="s">
        <v>1445</v>
      </c>
      <c r="D1392" s="4" t="str">
        <f>HYPERLINK("https://12go.asia/en/travel/dongguan/jiangbei", "12Go Link")</f>
        <v>12Go Link</v>
      </c>
      <c r="E1392" s="3" t="s">
        <v>94</v>
      </c>
      <c r="K1392" s="5"/>
    </row>
    <row r="1393">
      <c r="A1393" s="3" t="s">
        <v>611</v>
      </c>
      <c r="B1393" s="3" t="s">
        <v>641</v>
      </c>
      <c r="C1393" s="3" t="s">
        <v>1446</v>
      </c>
      <c r="D1393" s="4" t="str">
        <f>HYPERLINK("https://12go.asia/en/travel/dongguan/jiangjin", "12Go Link")</f>
        <v>12Go Link</v>
      </c>
      <c r="E1393" s="3" t="s">
        <v>94</v>
      </c>
      <c r="K1393" s="5"/>
    </row>
    <row r="1394">
      <c r="A1394" s="3" t="s">
        <v>611</v>
      </c>
      <c r="B1394" s="3" t="s">
        <v>645</v>
      </c>
      <c r="C1394" s="3" t="s">
        <v>1447</v>
      </c>
      <c r="D1394" s="4" t="str">
        <f>HYPERLINK("https://12go.asia/en/travel/dongguan/jiangxia", "12Go Link")</f>
        <v>12Go Link</v>
      </c>
      <c r="E1394" s="3" t="s">
        <v>94</v>
      </c>
      <c r="K1394" s="5"/>
    </row>
    <row r="1395">
      <c r="A1395" s="3" t="s">
        <v>611</v>
      </c>
      <c r="B1395" s="3" t="s">
        <v>647</v>
      </c>
      <c r="C1395" s="3" t="s">
        <v>1448</v>
      </c>
      <c r="D1395" s="4" t="str">
        <f>HYPERLINK("https://12go.asia/en/travel/dongguan/jiangyuan", "12Go Link")</f>
        <v>12Go Link</v>
      </c>
      <c r="E1395" s="3" t="s">
        <v>94</v>
      </c>
      <c r="K1395" s="5"/>
    </row>
    <row r="1396">
      <c r="A1396" s="3" t="s">
        <v>611</v>
      </c>
      <c r="B1396" s="3" t="s">
        <v>540</v>
      </c>
      <c r="C1396" s="3" t="s">
        <v>1449</v>
      </c>
      <c r="D1396" s="4" t="str">
        <f>HYPERLINK("https://12go.asia/en/travel/dongguan/jiangzhou", "12Go Link")</f>
        <v>12Go Link</v>
      </c>
      <c r="E1396" s="3" t="s">
        <v>94</v>
      </c>
      <c r="K1396" s="5"/>
    </row>
    <row r="1397">
      <c r="A1397" s="3" t="s">
        <v>611</v>
      </c>
      <c r="B1397" s="3" t="s">
        <v>542</v>
      </c>
      <c r="C1397" s="3" t="s">
        <v>1450</v>
      </c>
      <c r="D1397" s="4" t="str">
        <f>HYPERLINK("https://12go.asia/en/travel/dongguan/jiaocheng", "12Go Link")</f>
        <v>12Go Link</v>
      </c>
      <c r="E1397" s="3" t="s">
        <v>94</v>
      </c>
      <c r="K1397" s="5"/>
    </row>
    <row r="1398">
      <c r="A1398" s="3" t="s">
        <v>611</v>
      </c>
      <c r="B1398" s="3" t="s">
        <v>655</v>
      </c>
      <c r="C1398" s="3" t="s">
        <v>1451</v>
      </c>
      <c r="D1398" s="4" t="str">
        <f>HYPERLINK("https://12go.asia/en/travel/dongguan/jiaxiang", "12Go Link")</f>
        <v>12Go Link</v>
      </c>
      <c r="E1398" s="3" t="s">
        <v>94</v>
      </c>
      <c r="K1398" s="5"/>
    </row>
    <row r="1399">
      <c r="A1399" s="3" t="s">
        <v>611</v>
      </c>
      <c r="B1399" s="3" t="s">
        <v>1240</v>
      </c>
      <c r="C1399" s="3" t="s">
        <v>1452</v>
      </c>
      <c r="D1399" s="4" t="str">
        <f>HYPERLINK("https://12go.asia/en/travel/dongguan-east/daminghu", "12Go Link")</f>
        <v>12Go Link</v>
      </c>
      <c r="E1399" s="3" t="s">
        <v>94</v>
      </c>
      <c r="K1399" s="5"/>
    </row>
    <row r="1400">
      <c r="A1400" s="3" t="s">
        <v>611</v>
      </c>
      <c r="B1400" s="3" t="s">
        <v>1240</v>
      </c>
      <c r="C1400" s="3" t="s">
        <v>1453</v>
      </c>
      <c r="D1400" s="4" t="str">
        <f>HYPERLINK("https://12go.asia/en/travel/dongguan-east/jinan", "12Go Link")</f>
        <v>12Go Link</v>
      </c>
      <c r="E1400" s="3" t="s">
        <v>94</v>
      </c>
      <c r="K1400" s="5"/>
    </row>
    <row r="1401">
      <c r="A1401" s="3" t="s">
        <v>611</v>
      </c>
      <c r="B1401" s="3" t="s">
        <v>1240</v>
      </c>
      <c r="C1401" s="3" t="s">
        <v>1454</v>
      </c>
      <c r="D1401" s="4" t="str">
        <f>HYPERLINK("https://12go.asia/en/travel/dongguan/jinan", "12Go Link")</f>
        <v>12Go Link</v>
      </c>
      <c r="E1401" s="3" t="s">
        <v>94</v>
      </c>
      <c r="K1401" s="5"/>
    </row>
    <row r="1402">
      <c r="A1402" s="3" t="s">
        <v>611</v>
      </c>
      <c r="B1402" s="3" t="s">
        <v>657</v>
      </c>
      <c r="C1402" s="3" t="s">
        <v>1455</v>
      </c>
      <c r="D1402" s="4" t="str">
        <f>HYPERLINK("https://12go.asia/en/travel/dongguan-east/jingmen", "12Go Link")</f>
        <v>12Go Link</v>
      </c>
      <c r="E1402" s="3" t="s">
        <v>94</v>
      </c>
      <c r="K1402" s="5"/>
    </row>
    <row r="1403">
      <c r="A1403" s="3" t="s">
        <v>611</v>
      </c>
      <c r="B1403" s="3" t="s">
        <v>657</v>
      </c>
      <c r="C1403" s="3" t="s">
        <v>1456</v>
      </c>
      <c r="D1403" s="4" t="str">
        <f>HYPERLINK("https://12go.asia/en/travel/dongguan/jingmen", "12Go Link")</f>
        <v>12Go Link</v>
      </c>
      <c r="E1403" s="3" t="s">
        <v>94</v>
      </c>
      <c r="K1403" s="5"/>
    </row>
    <row r="1404">
      <c r="A1404" s="3" t="s">
        <v>611</v>
      </c>
      <c r="B1404" s="3" t="s">
        <v>1051</v>
      </c>
      <c r="C1404" s="3" t="s">
        <v>1457</v>
      </c>
      <c r="D1404" s="4" t="str">
        <f>HYPERLINK("https://12go.asia/en/travel/dongguan-east/jiujiang", "12Go Link")</f>
        <v>12Go Link</v>
      </c>
      <c r="E1404" s="3" t="s">
        <v>94</v>
      </c>
      <c r="K1404" s="5"/>
    </row>
    <row r="1405">
      <c r="A1405" s="3" t="s">
        <v>611</v>
      </c>
      <c r="B1405" s="3" t="s">
        <v>1051</v>
      </c>
      <c r="C1405" s="3" t="s">
        <v>1458</v>
      </c>
      <c r="D1405" s="4" t="str">
        <f>HYPERLINK("https://12go.asia/en/travel/dongguan/jiujiang", "12Go Link")</f>
        <v>12Go Link</v>
      </c>
      <c r="E1405" s="3" t="s">
        <v>94</v>
      </c>
      <c r="K1405" s="5"/>
    </row>
    <row r="1406">
      <c r="A1406" s="3" t="s">
        <v>611</v>
      </c>
      <c r="B1406" s="3" t="s">
        <v>1384</v>
      </c>
      <c r="C1406" s="3" t="s">
        <v>1459</v>
      </c>
      <c r="D1406" s="4" t="str">
        <f>HYPERLINK("https://12go.asia/en/travel/dongguan/longyan", "12Go Link")</f>
        <v>12Go Link</v>
      </c>
      <c r="E1406" s="3" t="s">
        <v>94</v>
      </c>
      <c r="K1406" s="5"/>
    </row>
    <row r="1407">
      <c r="A1407" s="3" t="s">
        <v>611</v>
      </c>
      <c r="B1407" s="3" t="s">
        <v>769</v>
      </c>
      <c r="C1407" s="3" t="s">
        <v>1460</v>
      </c>
      <c r="D1407" s="4" t="str">
        <f>HYPERLINK("https://12go.asia/en/travel/dongguan-east/nanjing", "12Go Link")</f>
        <v>12Go Link</v>
      </c>
      <c r="E1407" s="3" t="s">
        <v>94</v>
      </c>
      <c r="K1407" s="5"/>
    </row>
    <row r="1408">
      <c r="A1408" s="3" t="s">
        <v>611</v>
      </c>
      <c r="B1408" s="3" t="s">
        <v>769</v>
      </c>
      <c r="C1408" s="3" t="s">
        <v>1461</v>
      </c>
      <c r="D1408" s="4" t="str">
        <f>HYPERLINK("https://12go.asia/en/travel/dongguan/nanjing", "12Go Link")</f>
        <v>12Go Link</v>
      </c>
      <c r="E1408" s="3" t="s">
        <v>94</v>
      </c>
      <c r="K1408" s="5"/>
    </row>
    <row r="1409">
      <c r="A1409" s="3" t="s">
        <v>611</v>
      </c>
      <c r="B1409" s="3" t="s">
        <v>1462</v>
      </c>
      <c r="C1409" s="3" t="s">
        <v>1463</v>
      </c>
      <c r="D1409" s="4" t="str">
        <f>HYPERLINK("https://12go.asia/en/travel/dongguan-east/nantong", "12Go Link")</f>
        <v>12Go Link</v>
      </c>
      <c r="E1409" s="3" t="s">
        <v>94</v>
      </c>
      <c r="K1409" s="5"/>
    </row>
    <row r="1410">
      <c r="A1410" s="3" t="s">
        <v>611</v>
      </c>
      <c r="B1410" s="3" t="s">
        <v>1462</v>
      </c>
      <c r="C1410" s="3" t="s">
        <v>1464</v>
      </c>
      <c r="D1410" s="4" t="str">
        <f>HYPERLINK("https://12go.asia/en/travel/dongguan/nantong", "12Go Link")</f>
        <v>12Go Link</v>
      </c>
      <c r="E1410" s="3" t="s">
        <v>94</v>
      </c>
      <c r="K1410" s="5"/>
    </row>
    <row r="1411">
      <c r="A1411" s="3" t="s">
        <v>611</v>
      </c>
      <c r="B1411" s="3" t="s">
        <v>914</v>
      </c>
      <c r="C1411" s="3" t="s">
        <v>1465</v>
      </c>
      <c r="D1411" s="4" t="str">
        <f>HYPERLINK("https://12go.asia/en/travel/dongguan/pujiangzhen", "12Go Link")</f>
        <v>12Go Link</v>
      </c>
      <c r="E1411" s="3" t="s">
        <v>94</v>
      </c>
      <c r="K1411" s="5"/>
    </row>
    <row r="1412">
      <c r="A1412" s="3" t="s">
        <v>611</v>
      </c>
      <c r="B1412" s="3" t="s">
        <v>1390</v>
      </c>
      <c r="C1412" s="3" t="s">
        <v>1466</v>
      </c>
      <c r="D1412" s="4" t="str">
        <f>HYPERLINK("https://12go.asia/en/travel/dongguan/puning", "12Go Link")</f>
        <v>12Go Link</v>
      </c>
      <c r="E1412" s="3" t="s">
        <v>94</v>
      </c>
      <c r="K1412" s="5"/>
    </row>
    <row r="1413">
      <c r="A1413" s="3" t="s">
        <v>611</v>
      </c>
      <c r="B1413" s="3" t="s">
        <v>1467</v>
      </c>
      <c r="C1413" s="3" t="s">
        <v>1468</v>
      </c>
      <c r="D1413" s="4" t="str">
        <f>HYPERLINK("https://12go.asia/en/travel/dongguan-east/qingdao-north", "12Go Link")</f>
        <v>12Go Link</v>
      </c>
      <c r="E1413" s="3" t="s">
        <v>94</v>
      </c>
      <c r="K1413" s="5"/>
    </row>
    <row r="1414">
      <c r="A1414" s="3" t="s">
        <v>611</v>
      </c>
      <c r="B1414" s="3" t="s">
        <v>1467</v>
      </c>
      <c r="C1414" s="3" t="s">
        <v>1469</v>
      </c>
      <c r="D1414" s="4" t="str">
        <f>HYPERLINK("https://12go.asia/en/travel/dongguan/qingdao", "12Go Link")</f>
        <v>12Go Link</v>
      </c>
      <c r="E1414" s="3" t="s">
        <v>94</v>
      </c>
      <c r="K1414" s="5"/>
    </row>
    <row r="1415">
      <c r="A1415" s="3" t="s">
        <v>611</v>
      </c>
      <c r="B1415" s="3" t="s">
        <v>552</v>
      </c>
      <c r="C1415" s="3" t="s">
        <v>1470</v>
      </c>
      <c r="D1415" s="4" t="str">
        <f>HYPERLINK("https://12go.asia/en/travel/dongguan/shaanxi", "12Go Link")</f>
        <v>12Go Link</v>
      </c>
      <c r="E1415" s="3" t="s">
        <v>94</v>
      </c>
      <c r="K1415" s="5"/>
    </row>
    <row r="1416">
      <c r="A1416" s="3" t="s">
        <v>611</v>
      </c>
      <c r="B1416" s="3" t="s">
        <v>878</v>
      </c>
      <c r="C1416" s="3" t="s">
        <v>1471</v>
      </c>
      <c r="D1416" s="4" t="str">
        <f>HYPERLINK("https://12go.asia/en/travel/dongguan-east/shijiazhuang-north", "12Go Link")</f>
        <v>12Go Link</v>
      </c>
      <c r="E1416" s="3" t="s">
        <v>94</v>
      </c>
      <c r="K1416" s="5"/>
    </row>
    <row r="1417">
      <c r="A1417" s="3" t="s">
        <v>611</v>
      </c>
      <c r="B1417" s="3" t="s">
        <v>878</v>
      </c>
      <c r="C1417" s="3" t="s">
        <v>1472</v>
      </c>
      <c r="D1417" s="4" t="str">
        <f>HYPERLINK("https://12go.asia/en/travel/dongguan/shijiazhuang", "12Go Link")</f>
        <v>12Go Link</v>
      </c>
      <c r="E1417" s="3" t="s">
        <v>94</v>
      </c>
      <c r="K1417" s="5"/>
    </row>
    <row r="1418">
      <c r="A1418" s="3" t="s">
        <v>611</v>
      </c>
      <c r="B1418" s="3" t="s">
        <v>560</v>
      </c>
      <c r="C1418" s="3" t="s">
        <v>1473</v>
      </c>
      <c r="D1418" s="4" t="str">
        <f>HYPERLINK("https://12go.asia/en/travel/dongguan/shuangliu", "12Go Link")</f>
        <v>12Go Link</v>
      </c>
      <c r="E1418" s="3" t="s">
        <v>94</v>
      </c>
      <c r="K1418" s="5"/>
    </row>
    <row r="1419">
      <c r="A1419" s="3" t="s">
        <v>611</v>
      </c>
      <c r="B1419" s="3" t="s">
        <v>700</v>
      </c>
      <c r="C1419" s="3" t="s">
        <v>1474</v>
      </c>
      <c r="D1419" s="4" t="str">
        <f>HYPERLINK("https://12go.asia/en/travel/dongguan-east/taiyuan-shanxi", "12Go Link")</f>
        <v>12Go Link</v>
      </c>
      <c r="E1419" s="3" t="s">
        <v>94</v>
      </c>
      <c r="K1419" s="5"/>
    </row>
    <row r="1420">
      <c r="A1420" s="3" t="s">
        <v>611</v>
      </c>
      <c r="B1420" s="3" t="s">
        <v>700</v>
      </c>
      <c r="C1420" s="3" t="s">
        <v>1475</v>
      </c>
      <c r="D1420" s="4" t="str">
        <f>HYPERLINK("https://12go.asia/en/travel/dongguan/taiyuan", "12Go Link")</f>
        <v>12Go Link</v>
      </c>
      <c r="E1420" s="3" t="s">
        <v>94</v>
      </c>
      <c r="K1420" s="5"/>
    </row>
    <row r="1421">
      <c r="A1421" s="3" t="s">
        <v>611</v>
      </c>
      <c r="B1421" s="3" t="s">
        <v>700</v>
      </c>
      <c r="C1421" s="3" t="s">
        <v>1476</v>
      </c>
      <c r="D1421" s="4" t="str">
        <f>HYPERLINK("https://12go.asia/en/travel/dongguan/taiyuan-shanxi", "12Go Link")</f>
        <v>12Go Link</v>
      </c>
      <c r="E1421" s="3" t="s">
        <v>94</v>
      </c>
      <c r="K1421" s="5"/>
    </row>
    <row r="1422">
      <c r="A1422" s="3" t="s">
        <v>611</v>
      </c>
      <c r="B1422" s="3" t="s">
        <v>823</v>
      </c>
      <c r="C1422" s="3" t="s">
        <v>1477</v>
      </c>
      <c r="D1422" s="4" t="str">
        <f>HYPERLINK("https://12go.asia/en/travel/dongguan/tianjin", "12Go Link")</f>
        <v>12Go Link</v>
      </c>
      <c r="E1422" s="3" t="s">
        <v>94</v>
      </c>
      <c r="K1422" s="5"/>
    </row>
    <row r="1423">
      <c r="A1423" s="3" t="s">
        <v>611</v>
      </c>
      <c r="B1423" s="3" t="s">
        <v>564</v>
      </c>
      <c r="C1423" s="3" t="s">
        <v>1478</v>
      </c>
      <c r="D1423" s="4" t="str">
        <f>HYPERLINK("https://12go.asia/en/travel/dongguan/tianxin", "12Go Link")</f>
        <v>12Go Link</v>
      </c>
      <c r="E1423" s="3" t="s">
        <v>94</v>
      </c>
      <c r="K1423" s="5"/>
    </row>
    <row r="1424">
      <c r="A1424" s="3" t="s">
        <v>611</v>
      </c>
      <c r="B1424" s="3" t="s">
        <v>566</v>
      </c>
      <c r="C1424" s="3" t="s">
        <v>1479</v>
      </c>
      <c r="D1424" s="4" t="str">
        <f>HYPERLINK("https://12go.asia/en/travel/dongguan/wenjiang", "12Go Link")</f>
        <v>12Go Link</v>
      </c>
      <c r="E1424" s="3" t="s">
        <v>94</v>
      </c>
      <c r="K1424" s="5"/>
    </row>
    <row r="1425">
      <c r="A1425" s="3" t="s">
        <v>611</v>
      </c>
      <c r="B1425" s="3" t="s">
        <v>793</v>
      </c>
      <c r="C1425" s="3" t="s">
        <v>1480</v>
      </c>
      <c r="D1425" s="4" t="str">
        <f>HYPERLINK("https://12go.asia/en/travel/dongguan/wenzhou", "12Go Link")</f>
        <v>12Go Link</v>
      </c>
      <c r="E1425" s="3" t="s">
        <v>94</v>
      </c>
      <c r="K1425" s="5"/>
    </row>
    <row r="1426">
      <c r="A1426" s="3" t="s">
        <v>611</v>
      </c>
      <c r="B1426" s="3" t="s">
        <v>793</v>
      </c>
      <c r="C1426" s="3" t="s">
        <v>1481</v>
      </c>
      <c r="D1426" s="4" t="str">
        <f>HYPERLINK("https://12go.asia/en/travel/dongguan/wenzhou-south", "12Go Link")</f>
        <v>12Go Link</v>
      </c>
      <c r="E1426" s="3" t="s">
        <v>94</v>
      </c>
      <c r="K1426" s="5"/>
    </row>
    <row r="1427">
      <c r="A1427" s="3" t="s">
        <v>611</v>
      </c>
      <c r="B1427" s="3" t="s">
        <v>1403</v>
      </c>
      <c r="C1427" s="3" t="s">
        <v>1482</v>
      </c>
      <c r="D1427" s="4" t="str">
        <f>HYPERLINK("https://12go.asia/en/travel/dongguan-south/xiamen", "12Go Link")</f>
        <v>12Go Link</v>
      </c>
      <c r="E1427" s="3" t="s">
        <v>94</v>
      </c>
      <c r="K1427" s="5"/>
    </row>
    <row r="1428">
      <c r="A1428" s="3" t="s">
        <v>611</v>
      </c>
      <c r="B1428" s="3" t="s">
        <v>1403</v>
      </c>
      <c r="C1428" s="3" t="s">
        <v>1483</v>
      </c>
      <c r="D1428" s="4" t="str">
        <f>HYPERLINK("https://12go.asia/en/travel/dongguan-south/xiamen-north", "12Go Link")</f>
        <v>12Go Link</v>
      </c>
      <c r="E1428" s="3" t="s">
        <v>94</v>
      </c>
      <c r="K1428" s="5"/>
    </row>
    <row r="1429">
      <c r="A1429" s="3" t="s">
        <v>611</v>
      </c>
      <c r="B1429" s="3" t="s">
        <v>1406</v>
      </c>
      <c r="C1429" s="3" t="s">
        <v>1484</v>
      </c>
      <c r="D1429" s="4" t="str">
        <f>HYPERLINK("https://12go.asia/en/travel/dongguan-east/xiangyang", "12Go Link")</f>
        <v>12Go Link</v>
      </c>
      <c r="E1429" s="3" t="s">
        <v>94</v>
      </c>
      <c r="K1429" s="5"/>
    </row>
    <row r="1430">
      <c r="A1430" s="3" t="s">
        <v>611</v>
      </c>
      <c r="B1430" s="3" t="s">
        <v>1406</v>
      </c>
      <c r="C1430" s="3" t="s">
        <v>1485</v>
      </c>
      <c r="D1430" s="4" t="str">
        <f>HYPERLINK("https://12go.asia/en/travel/dongguan/xiangyang", "12Go Link")</f>
        <v>12Go Link</v>
      </c>
      <c r="E1430" s="3" t="s">
        <v>94</v>
      </c>
      <c r="K1430" s="5"/>
    </row>
    <row r="1431">
      <c r="A1431" s="3" t="s">
        <v>611</v>
      </c>
      <c r="B1431" s="3" t="s">
        <v>806</v>
      </c>
      <c r="C1431" s="3" t="s">
        <v>1486</v>
      </c>
      <c r="D1431" s="4" t="str">
        <f>HYPERLINK("https://12go.asia/en/travel/dongguan-east/xinyang", "12Go Link")</f>
        <v>12Go Link</v>
      </c>
      <c r="E1431" s="3" t="s">
        <v>94</v>
      </c>
      <c r="K1431" s="5"/>
    </row>
    <row r="1432">
      <c r="A1432" s="3" t="s">
        <v>611</v>
      </c>
      <c r="B1432" s="3" t="s">
        <v>806</v>
      </c>
      <c r="C1432" s="3" t="s">
        <v>1487</v>
      </c>
      <c r="D1432" s="4" t="str">
        <f>HYPERLINK("https://12go.asia/en/travel/dongguan/xinyang", "12Go Link")</f>
        <v>12Go Link</v>
      </c>
      <c r="E1432" s="3" t="s">
        <v>94</v>
      </c>
      <c r="K1432" s="5"/>
    </row>
    <row r="1433">
      <c r="A1433" s="3" t="s">
        <v>611</v>
      </c>
      <c r="B1433" s="3" t="s">
        <v>577</v>
      </c>
      <c r="C1433" s="3" t="s">
        <v>1488</v>
      </c>
      <c r="D1433" s="4" t="str">
        <f>HYPERLINK("https://12go.asia/en/travel/dongguan/xunxian", "12Go Link")</f>
        <v>12Go Link</v>
      </c>
      <c r="E1433" s="3" t="s">
        <v>94</v>
      </c>
      <c r="K1433" s="5"/>
    </row>
    <row r="1434">
      <c r="A1434" s="3" t="s">
        <v>611</v>
      </c>
      <c r="B1434" s="3" t="s">
        <v>819</v>
      </c>
      <c r="C1434" s="3" t="s">
        <v>1489</v>
      </c>
      <c r="D1434" s="4" t="str">
        <f>HYPERLINK("https://12go.asia/en/travel/dongguan-east/yueyang", "12Go Link")</f>
        <v>12Go Link</v>
      </c>
      <c r="E1434" s="3" t="s">
        <v>94</v>
      </c>
      <c r="K1434" s="5"/>
    </row>
    <row r="1435">
      <c r="A1435" s="3" t="s">
        <v>611</v>
      </c>
      <c r="B1435" s="3" t="s">
        <v>819</v>
      </c>
      <c r="C1435" s="3" t="s">
        <v>1490</v>
      </c>
      <c r="D1435" s="4" t="str">
        <f>HYPERLINK("https://12go.asia/en/travel/dongguan/yueyang", "12Go Link")</f>
        <v>12Go Link</v>
      </c>
      <c r="E1435" s="3" t="s">
        <v>94</v>
      </c>
      <c r="K1435" s="5"/>
    </row>
    <row r="1436">
      <c r="A1436" s="3" t="s">
        <v>611</v>
      </c>
      <c r="B1436" s="3" t="s">
        <v>1017</v>
      </c>
      <c r="C1436" s="3" t="s">
        <v>1491</v>
      </c>
      <c r="D1436" s="4" t="str">
        <f>HYPERLINK("https://12go.asia/en/travel/dongguan/xintang", "12Go Link")</f>
        <v>12Go Link</v>
      </c>
      <c r="E1436" s="3" t="s">
        <v>94</v>
      </c>
      <c r="K1436" s="5"/>
    </row>
    <row r="1437">
      <c r="A1437" s="3" t="s">
        <v>611</v>
      </c>
      <c r="B1437" s="3" t="s">
        <v>1017</v>
      </c>
      <c r="C1437" s="3" t="s">
        <v>1492</v>
      </c>
      <c r="D1437" s="4" t="str">
        <f>HYPERLINK("https://12go.asia/en/travel/dongguan/zengcheng", "12Go Link")</f>
        <v>12Go Link</v>
      </c>
      <c r="E1437" s="3" t="s">
        <v>94</v>
      </c>
      <c r="K1437" s="5"/>
    </row>
    <row r="1438">
      <c r="A1438" s="3" t="s">
        <v>611</v>
      </c>
      <c r="B1438" s="3" t="s">
        <v>1326</v>
      </c>
      <c r="C1438" s="3" t="s">
        <v>1493</v>
      </c>
      <c r="D1438" s="4" t="str">
        <f>HYPERLINK("https://12go.asia/en/travel/dongguan-east/zhangjiajie-west", "12Go Link")</f>
        <v>12Go Link</v>
      </c>
      <c r="E1438" s="3" t="s">
        <v>94</v>
      </c>
      <c r="K1438" s="5"/>
    </row>
    <row r="1439">
      <c r="A1439" s="3" t="s">
        <v>611</v>
      </c>
      <c r="B1439" s="3" t="s">
        <v>1326</v>
      </c>
      <c r="C1439" s="3" t="s">
        <v>1494</v>
      </c>
      <c r="D1439" s="4" t="str">
        <f>HYPERLINK("https://12go.asia/en/travel/dongguan/zhangjiajie", "12Go Link")</f>
        <v>12Go Link</v>
      </c>
      <c r="E1439" s="3" t="s">
        <v>94</v>
      </c>
      <c r="K1439" s="5"/>
    </row>
    <row r="1440">
      <c r="A1440" s="3" t="s">
        <v>613</v>
      </c>
      <c r="B1440" s="3" t="s">
        <v>1026</v>
      </c>
      <c r="C1440" s="3" t="s">
        <v>1495</v>
      </c>
      <c r="D1440" s="4" t="str">
        <f>HYPERLINK("https://12go.asia/en/travel/dongsheng-west/baotou", "12Go Link")</f>
        <v>12Go Link</v>
      </c>
      <c r="E1440" s="3" t="s">
        <v>94</v>
      </c>
      <c r="K1440" s="5"/>
    </row>
    <row r="1441">
      <c r="A1441" s="3" t="s">
        <v>613</v>
      </c>
      <c r="B1441" s="3" t="s">
        <v>1026</v>
      </c>
      <c r="C1441" s="3" t="s">
        <v>1496</v>
      </c>
      <c r="D1441" s="4" t="str">
        <f>HYPERLINK("https://12go.asia/en/travel/dongsheng-west/baotou-east", "12Go Link")</f>
        <v>12Go Link</v>
      </c>
      <c r="E1441" s="3" t="s">
        <v>94</v>
      </c>
      <c r="K1441" s="5"/>
    </row>
    <row r="1442">
      <c r="A1442" s="3" t="s">
        <v>613</v>
      </c>
      <c r="B1442" s="3" t="s">
        <v>1026</v>
      </c>
      <c r="C1442" s="3" t="s">
        <v>1497</v>
      </c>
      <c r="D1442" s="4" t="str">
        <f>HYPERLINK("https://12go.asia/en/travel/dongsheng/baotou", "12Go Link")</f>
        <v>12Go Link</v>
      </c>
      <c r="E1442" s="3" t="s">
        <v>94</v>
      </c>
      <c r="K1442" s="5"/>
    </row>
    <row r="1443">
      <c r="A1443" s="3" t="s">
        <v>613</v>
      </c>
      <c r="B1443" s="3" t="s">
        <v>593</v>
      </c>
      <c r="C1443" s="3" t="s">
        <v>1498</v>
      </c>
      <c r="D1443" s="4" t="str">
        <f>HYPERLINK("https://12go.asia/en/travel/dongsheng-west/beijing-west", "12Go Link")</f>
        <v>12Go Link</v>
      </c>
      <c r="E1443" s="3" t="s">
        <v>94</v>
      </c>
      <c r="K1443" s="5"/>
    </row>
    <row r="1444">
      <c r="A1444" s="3" t="s">
        <v>613</v>
      </c>
      <c r="B1444" s="3" t="s">
        <v>593</v>
      </c>
      <c r="C1444" s="3" t="s">
        <v>1499</v>
      </c>
      <c r="D1444" s="4" t="str">
        <f>HYPERLINK("https://12go.asia/en/travel/dongsheng/beijing", "12Go Link")</f>
        <v>12Go Link</v>
      </c>
      <c r="E1444" s="3" t="s">
        <v>94</v>
      </c>
      <c r="K1444" s="5"/>
    </row>
    <row r="1445">
      <c r="A1445" s="3" t="s">
        <v>613</v>
      </c>
      <c r="B1445" s="3" t="s">
        <v>530</v>
      </c>
      <c r="C1445" s="3" t="s">
        <v>1500</v>
      </c>
      <c r="D1445" s="4" t="str">
        <f>HYPERLINK("https://12go.asia/en/travel/dongsheng/hebei", "12Go Link")</f>
        <v>12Go Link</v>
      </c>
      <c r="E1445" s="3" t="s">
        <v>94</v>
      </c>
      <c r="K1445" s="5"/>
    </row>
    <row r="1446">
      <c r="A1446" s="3" t="s">
        <v>613</v>
      </c>
      <c r="B1446" s="3" t="s">
        <v>860</v>
      </c>
      <c r="C1446" s="3" t="s">
        <v>1501</v>
      </c>
      <c r="D1446" s="4" t="str">
        <f>HYPERLINK("https://12go.asia/en/travel/dongsheng-west/hohhot", "12Go Link")</f>
        <v>12Go Link</v>
      </c>
      <c r="E1446" s="3" t="s">
        <v>94</v>
      </c>
      <c r="K1446" s="5"/>
    </row>
    <row r="1447">
      <c r="A1447" s="3" t="s">
        <v>613</v>
      </c>
      <c r="B1447" s="3" t="s">
        <v>860</v>
      </c>
      <c r="C1447" s="3" t="s">
        <v>1502</v>
      </c>
      <c r="D1447" s="4" t="str">
        <f>HYPERLINK("https://12go.asia/en/travel/dongsheng-west/hohhot-east", "12Go Link")</f>
        <v>12Go Link</v>
      </c>
      <c r="E1447" s="3" t="s">
        <v>94</v>
      </c>
      <c r="K1447" s="5"/>
    </row>
    <row r="1448">
      <c r="A1448" s="3" t="s">
        <v>613</v>
      </c>
      <c r="B1448" s="3" t="s">
        <v>860</v>
      </c>
      <c r="C1448" s="3" t="s">
        <v>1503</v>
      </c>
      <c r="D1448" s="4" t="str">
        <f>HYPERLINK("https://12go.asia/en/travel/dongsheng/hohhot", "12Go Link")</f>
        <v>12Go Link</v>
      </c>
      <c r="E1448" s="3" t="s">
        <v>94</v>
      </c>
      <c r="K1448" s="5"/>
    </row>
    <row r="1449">
      <c r="A1449" s="3" t="s">
        <v>613</v>
      </c>
      <c r="B1449" s="3" t="s">
        <v>626</v>
      </c>
      <c r="C1449" s="3" t="s">
        <v>1504</v>
      </c>
      <c r="D1449" s="4" t="str">
        <f>HYPERLINK("https://12go.asia/en/travel/dongsheng/huade", "12Go Link")</f>
        <v>12Go Link</v>
      </c>
      <c r="E1449" s="3" t="s">
        <v>94</v>
      </c>
      <c r="K1449" s="5"/>
    </row>
    <row r="1450">
      <c r="A1450" s="3" t="s">
        <v>613</v>
      </c>
      <c r="B1450" s="3" t="s">
        <v>1044</v>
      </c>
      <c r="C1450" s="3" t="s">
        <v>1505</v>
      </c>
      <c r="D1450" s="4" t="str">
        <f>HYPERLINK("https://12go.asia/en/travel/dongsheng/inner-mongolia", "12Go Link")</f>
        <v>12Go Link</v>
      </c>
      <c r="E1450" s="3" t="s">
        <v>94</v>
      </c>
      <c r="K1450" s="5"/>
    </row>
    <row r="1451">
      <c r="A1451" s="3" t="s">
        <v>613</v>
      </c>
      <c r="B1451" s="3" t="s">
        <v>552</v>
      </c>
      <c r="C1451" s="3" t="s">
        <v>1506</v>
      </c>
      <c r="D1451" s="4" t="str">
        <f>HYPERLINK("https://12go.asia/en/travel/dongsheng/shaanxi", "12Go Link")</f>
        <v>12Go Link</v>
      </c>
      <c r="E1451" s="3" t="s">
        <v>94</v>
      </c>
      <c r="K1451" s="5"/>
    </row>
    <row r="1452">
      <c r="A1452" s="3" t="s">
        <v>613</v>
      </c>
      <c r="B1452" s="3" t="s">
        <v>878</v>
      </c>
      <c r="C1452" s="3" t="s">
        <v>1507</v>
      </c>
      <c r="D1452" s="4" t="str">
        <f>HYPERLINK("https://12go.asia/en/travel/dongsheng-west/shijiazhuang-north", "12Go Link")</f>
        <v>12Go Link</v>
      </c>
      <c r="E1452" s="3" t="s">
        <v>94</v>
      </c>
      <c r="K1452" s="5"/>
    </row>
    <row r="1453">
      <c r="A1453" s="3" t="s">
        <v>613</v>
      </c>
      <c r="B1453" s="3" t="s">
        <v>878</v>
      </c>
      <c r="C1453" s="3" t="s">
        <v>1508</v>
      </c>
      <c r="D1453" s="4" t="str">
        <f>HYPERLINK("https://12go.asia/en/travel/dongsheng/shijiazhuang", "12Go Link")</f>
        <v>12Go Link</v>
      </c>
      <c r="E1453" s="3" t="s">
        <v>94</v>
      </c>
      <c r="K1453" s="5"/>
    </row>
    <row r="1454">
      <c r="A1454" s="3" t="s">
        <v>613</v>
      </c>
      <c r="B1454" s="3" t="s">
        <v>883</v>
      </c>
      <c r="C1454" s="3" t="s">
        <v>1509</v>
      </c>
      <c r="D1454" s="4" t="str">
        <f>HYPERLINK("https://12go.asia/en/travel/dongsheng/taian", "12Go Link")</f>
        <v>12Go Link</v>
      </c>
      <c r="E1454" s="3" t="s">
        <v>94</v>
      </c>
      <c r="K1454" s="5"/>
    </row>
    <row r="1455">
      <c r="A1455" s="3" t="s">
        <v>613</v>
      </c>
      <c r="B1455" s="3" t="s">
        <v>801</v>
      </c>
      <c r="C1455" s="3" t="s">
        <v>1510</v>
      </c>
      <c r="D1455" s="4" t="str">
        <f>HYPERLINK("https://12go.asia/en/travel/dongsheng-west/xian", "12Go Link")</f>
        <v>12Go Link</v>
      </c>
      <c r="E1455" s="3" t="s">
        <v>94</v>
      </c>
      <c r="K1455" s="5"/>
    </row>
    <row r="1456">
      <c r="A1456" s="3" t="s">
        <v>613</v>
      </c>
      <c r="B1456" s="3" t="s">
        <v>801</v>
      </c>
      <c r="C1456" s="3" t="s">
        <v>1511</v>
      </c>
      <c r="D1456" s="4" t="str">
        <f>HYPERLINK("https://12go.asia/en/travel/dongsheng-west/xian-south", "12Go Link")</f>
        <v>12Go Link</v>
      </c>
      <c r="E1456" s="3" t="s">
        <v>94</v>
      </c>
      <c r="K1456" s="5"/>
    </row>
    <row r="1457">
      <c r="A1457" s="3" t="s">
        <v>613</v>
      </c>
      <c r="B1457" s="3" t="s">
        <v>801</v>
      </c>
      <c r="C1457" s="3" t="s">
        <v>1512</v>
      </c>
      <c r="D1457" s="4" t="str">
        <f>HYPERLINK("https://12go.asia/en/travel/dongsheng/xian", "12Go Link")</f>
        <v>12Go Link</v>
      </c>
      <c r="E1457" s="3" t="s">
        <v>94</v>
      </c>
      <c r="K1457" s="5"/>
    </row>
    <row r="1458">
      <c r="A1458" s="3" t="s">
        <v>613</v>
      </c>
      <c r="B1458" s="3" t="s">
        <v>591</v>
      </c>
      <c r="C1458" s="3" t="s">
        <v>1513</v>
      </c>
      <c r="D1458" s="4" t="str">
        <f>HYPERLINK("https://12go.asia/en/travel/dongsheng-west/yanan", "12Go Link")</f>
        <v>12Go Link</v>
      </c>
      <c r="E1458" s="3" t="s">
        <v>94</v>
      </c>
      <c r="K1458" s="5"/>
    </row>
    <row r="1459">
      <c r="A1459" s="3" t="s">
        <v>613</v>
      </c>
      <c r="B1459" s="3" t="s">
        <v>591</v>
      </c>
      <c r="C1459" s="3" t="s">
        <v>1514</v>
      </c>
      <c r="D1459" s="4" t="str">
        <f>HYPERLINK("https://12go.asia/en/travel/dongsheng/yanan", "12Go Link")</f>
        <v>12Go Link</v>
      </c>
      <c r="E1459" s="3" t="s">
        <v>94</v>
      </c>
      <c r="K1459" s="5"/>
    </row>
    <row r="1460">
      <c r="A1460" s="3" t="s">
        <v>613</v>
      </c>
      <c r="B1460" s="3" t="s">
        <v>1515</v>
      </c>
      <c r="C1460" s="3" t="s">
        <v>1516</v>
      </c>
      <c r="D1460" s="4" t="str">
        <f>HYPERLINK("https://12go.asia/en/travel/dongsheng-west/yulin-shaanxi", "12Go Link")</f>
        <v>12Go Link</v>
      </c>
      <c r="E1460" s="3" t="s">
        <v>94</v>
      </c>
      <c r="K1460" s="5"/>
    </row>
    <row r="1461">
      <c r="A1461" s="3" t="s">
        <v>613</v>
      </c>
      <c r="B1461" s="3" t="s">
        <v>1515</v>
      </c>
      <c r="C1461" s="3" t="s">
        <v>1517</v>
      </c>
      <c r="D1461" s="4" t="str">
        <f>HYPERLINK("https://12go.asia/en/travel/dongsheng/yulin-shaanxi", "12Go Link")</f>
        <v>12Go Link</v>
      </c>
      <c r="E1461" s="3" t="s">
        <v>94</v>
      </c>
      <c r="K1461" s="5"/>
    </row>
    <row r="1462">
      <c r="A1462" s="3" t="s">
        <v>1518</v>
      </c>
      <c r="B1462" s="3" t="s">
        <v>841</v>
      </c>
      <c r="C1462" s="3" t="s">
        <v>1519</v>
      </c>
      <c r="D1462" s="4" t="str">
        <f>HYPERLINK("https://12go.asia/en/travel/duan-yao/chengdu", "12Go Link")</f>
        <v>12Go Link</v>
      </c>
      <c r="E1462" s="3" t="s">
        <v>94</v>
      </c>
      <c r="K1462" s="5"/>
    </row>
    <row r="1463">
      <c r="A1463" s="3" t="s">
        <v>1518</v>
      </c>
      <c r="B1463" s="3" t="s">
        <v>1208</v>
      </c>
      <c r="C1463" s="3" t="s">
        <v>1520</v>
      </c>
      <c r="D1463" s="4" t="str">
        <f>HYPERLINK("https://12go.asia/en/travel/duan-yao/chengdu-airport", "12Go Link")</f>
        <v>12Go Link</v>
      </c>
      <c r="E1463" s="3" t="s">
        <v>94</v>
      </c>
      <c r="K1463" s="5"/>
    </row>
    <row r="1464">
      <c r="A1464" s="3" t="s">
        <v>1518</v>
      </c>
      <c r="B1464" s="3" t="s">
        <v>1521</v>
      </c>
      <c r="C1464" s="3" t="s">
        <v>1522</v>
      </c>
      <c r="D1464" s="4" t="str">
        <f>HYPERLINK("https://12go.asia/en/travel/duan-yao/foshan", "12Go Link")</f>
        <v>12Go Link</v>
      </c>
      <c r="E1464" s="3" t="s">
        <v>94</v>
      </c>
      <c r="K1464" s="5"/>
    </row>
    <row r="1465">
      <c r="A1465" s="3" t="s">
        <v>1518</v>
      </c>
      <c r="B1465" s="3" t="s">
        <v>1364</v>
      </c>
      <c r="C1465" s="3" t="s">
        <v>1523</v>
      </c>
      <c r="D1465" s="4" t="str">
        <f>HYPERLINK("https://12go.asia/en/travel/duan-yao/guangdong", "12Go Link")</f>
        <v>12Go Link</v>
      </c>
      <c r="E1465" s="3" t="s">
        <v>94</v>
      </c>
      <c r="K1465" s="5"/>
    </row>
    <row r="1466">
      <c r="A1466" s="3" t="s">
        <v>1518</v>
      </c>
      <c r="B1466" s="3" t="s">
        <v>851</v>
      </c>
      <c r="C1466" s="3" t="s">
        <v>1524</v>
      </c>
      <c r="D1466" s="4" t="str">
        <f>HYPERLINK("https://12go.asia/en/travel/duan-yao/guangxi", "12Go Link")</f>
        <v>12Go Link</v>
      </c>
      <c r="E1466" s="3" t="s">
        <v>94</v>
      </c>
      <c r="K1466" s="5"/>
    </row>
    <row r="1467">
      <c r="A1467" s="3" t="s">
        <v>1518</v>
      </c>
      <c r="B1467" s="3" t="s">
        <v>1366</v>
      </c>
      <c r="C1467" s="3" t="s">
        <v>1525</v>
      </c>
      <c r="D1467" s="4" t="str">
        <f>HYPERLINK("https://12go.asia/en/travel/duan-yao/guangzhou", "12Go Link")</f>
        <v>12Go Link</v>
      </c>
      <c r="E1467" s="3" t="s">
        <v>94</v>
      </c>
      <c r="K1467" s="5"/>
    </row>
    <row r="1468">
      <c r="A1468" s="3" t="s">
        <v>1518</v>
      </c>
      <c r="B1468" s="3" t="s">
        <v>620</v>
      </c>
      <c r="C1468" s="3" t="s">
        <v>1526</v>
      </c>
      <c r="D1468" s="4" t="str">
        <f>HYPERLINK("https://12go.asia/en/travel/duan-yao/hengqin-island", "12Go Link")</f>
        <v>12Go Link</v>
      </c>
      <c r="E1468" s="3" t="s">
        <v>94</v>
      </c>
      <c r="K1468" s="5"/>
    </row>
    <row r="1469">
      <c r="A1469" s="3" t="s">
        <v>1518</v>
      </c>
      <c r="B1469" s="3" t="s">
        <v>624</v>
      </c>
      <c r="C1469" s="3" t="s">
        <v>1527</v>
      </c>
      <c r="D1469" s="4" t="str">
        <f>HYPERLINK("https://12go.asia/en/travel/duan-yao/hong-kong-island", "12Go Link")</f>
        <v>12Go Link</v>
      </c>
      <c r="E1469" s="3" t="s">
        <v>94</v>
      </c>
      <c r="K1469" s="5"/>
    </row>
    <row r="1470">
      <c r="A1470" s="3" t="s">
        <v>1518</v>
      </c>
      <c r="B1470" s="3" t="s">
        <v>1372</v>
      </c>
      <c r="C1470" s="3" t="s">
        <v>1528</v>
      </c>
      <c r="D1470" s="4" t="str">
        <f>HYPERLINK("https://12go.asia/en/travel/duan-yao/hong-kong-west-kowloon", "12Go Link")</f>
        <v>12Go Link</v>
      </c>
      <c r="E1470" s="3" t="s">
        <v>94</v>
      </c>
      <c r="K1470" s="5"/>
    </row>
    <row r="1471">
      <c r="A1471" s="3" t="s">
        <v>1518</v>
      </c>
      <c r="B1471" s="3" t="s">
        <v>1529</v>
      </c>
      <c r="C1471" s="3" t="s">
        <v>1530</v>
      </c>
      <c r="D1471" s="4" t="str">
        <f>HYPERLINK("https://12go.asia/en/travel/duan-yao/kunming", "12Go Link")</f>
        <v>12Go Link</v>
      </c>
      <c r="E1471" s="3" t="s">
        <v>94</v>
      </c>
      <c r="K1471" s="5"/>
    </row>
    <row r="1472">
      <c r="A1472" s="3" t="s">
        <v>1518</v>
      </c>
      <c r="B1472" s="3" t="s">
        <v>1303</v>
      </c>
      <c r="C1472" s="3" t="s">
        <v>1531</v>
      </c>
      <c r="D1472" s="4" t="str">
        <f>HYPERLINK("https://12go.asia/en/travel/duan-yao/macau", "12Go Link")</f>
        <v>12Go Link</v>
      </c>
      <c r="E1472" s="3" t="s">
        <v>94</v>
      </c>
      <c r="K1472" s="5"/>
    </row>
    <row r="1473">
      <c r="A1473" s="3" t="s">
        <v>1518</v>
      </c>
      <c r="B1473" s="3" t="s">
        <v>674</v>
      </c>
      <c r="C1473" s="3" t="s">
        <v>1532</v>
      </c>
      <c r="D1473" s="4" t="str">
        <f>HYPERLINK("https://12go.asia/en/travel/duan-yao/maoming", "12Go Link")</f>
        <v>12Go Link</v>
      </c>
      <c r="E1473" s="3" t="s">
        <v>94</v>
      </c>
      <c r="K1473" s="5"/>
    </row>
    <row r="1474">
      <c r="A1474" s="3" t="s">
        <v>1518</v>
      </c>
      <c r="B1474" s="3" t="s">
        <v>679</v>
      </c>
      <c r="C1474" s="3" t="s">
        <v>1533</v>
      </c>
      <c r="D1474" s="4" t="str">
        <f>HYPERLINK("https://12go.asia/en/travel/duan-yao/mingxi", "12Go Link")</f>
        <v>12Go Link</v>
      </c>
      <c r="E1474" s="3" t="s">
        <v>94</v>
      </c>
      <c r="K1474" s="5"/>
    </row>
    <row r="1475">
      <c r="A1475" s="3" t="s">
        <v>1518</v>
      </c>
      <c r="B1475" s="3" t="s">
        <v>1534</v>
      </c>
      <c r="C1475" s="3" t="s">
        <v>1535</v>
      </c>
      <c r="D1475" s="4" t="str">
        <f>HYPERLINK("https://12go.asia/en/travel/duan-yao/nanning", "12Go Link")</f>
        <v>12Go Link</v>
      </c>
      <c r="E1475" s="3" t="s">
        <v>94</v>
      </c>
      <c r="K1475" s="5"/>
    </row>
    <row r="1476">
      <c r="A1476" s="3" t="s">
        <v>1518</v>
      </c>
      <c r="B1476" s="3" t="s">
        <v>550</v>
      </c>
      <c r="C1476" s="3" t="s">
        <v>1536</v>
      </c>
      <c r="D1476" s="4" t="str">
        <f>HYPERLINK("https://12go.asia/en/travel/duan-yao/saihan", "12Go Link")</f>
        <v>12Go Link</v>
      </c>
      <c r="E1476" s="3" t="s">
        <v>94</v>
      </c>
      <c r="K1476" s="5"/>
    </row>
    <row r="1477">
      <c r="A1477" s="3" t="s">
        <v>1518</v>
      </c>
      <c r="B1477" s="3" t="s">
        <v>1395</v>
      </c>
      <c r="C1477" s="3" t="s">
        <v>1537</v>
      </c>
      <c r="D1477" s="4" t="str">
        <f>HYPERLINK("https://12go.asia/en/travel/duan-yao/shenzhen", "12Go Link")</f>
        <v>12Go Link</v>
      </c>
      <c r="E1477" s="3" t="s">
        <v>94</v>
      </c>
      <c r="K1477" s="5"/>
    </row>
    <row r="1478">
      <c r="A1478" s="3" t="s">
        <v>1518</v>
      </c>
      <c r="B1478" s="3" t="s">
        <v>560</v>
      </c>
      <c r="C1478" s="3" t="s">
        <v>1538</v>
      </c>
      <c r="D1478" s="4" t="str">
        <f>HYPERLINK("https://12go.asia/en/travel/duan-yao/shuangliu", "12Go Link")</f>
        <v>12Go Link</v>
      </c>
      <c r="E1478" s="3" t="s">
        <v>94</v>
      </c>
      <c r="K1478" s="5"/>
    </row>
    <row r="1479">
      <c r="A1479" s="3" t="s">
        <v>1518</v>
      </c>
      <c r="B1479" s="3" t="s">
        <v>720</v>
      </c>
      <c r="C1479" s="3" t="s">
        <v>1539</v>
      </c>
      <c r="D1479" s="4" t="str">
        <f>HYPERLINK("https://12go.asia/en/travel/duan-yao/yangchun", "12Go Link")</f>
        <v>12Go Link</v>
      </c>
      <c r="E1479" s="3" t="s">
        <v>94</v>
      </c>
      <c r="K1479" s="5"/>
    </row>
    <row r="1480">
      <c r="A1480" s="3" t="s">
        <v>1518</v>
      </c>
      <c r="B1480" s="3" t="s">
        <v>1540</v>
      </c>
      <c r="C1480" s="3" t="s">
        <v>1541</v>
      </c>
      <c r="D1480" s="4" t="str">
        <f>HYPERLINK("https://12go.asia/en/travel/duan-yao/yunnan", "12Go Link")</f>
        <v>12Go Link</v>
      </c>
      <c r="E1480" s="3" t="s">
        <v>94</v>
      </c>
      <c r="K1480" s="5"/>
    </row>
    <row r="1481">
      <c r="A1481" s="3" t="s">
        <v>1518</v>
      </c>
      <c r="B1481" s="3" t="s">
        <v>1542</v>
      </c>
      <c r="C1481" s="3" t="s">
        <v>1543</v>
      </c>
      <c r="D1481" s="4" t="str">
        <f>HYPERLINK("https://12go.asia/en/travel/duan-yao/zhuhai", "12Go Link")</f>
        <v>12Go Link</v>
      </c>
      <c r="E1481" s="3" t="s">
        <v>94</v>
      </c>
      <c r="K1481" s="5"/>
    </row>
    <row r="1482">
      <c r="A1482" s="3" t="s">
        <v>1518</v>
      </c>
      <c r="B1482" s="3" t="s">
        <v>1410</v>
      </c>
      <c r="C1482" s="3" t="s">
        <v>1544</v>
      </c>
      <c r="D1482" s="4" t="str">
        <f>HYPERLINK("https://12go.asia/en/travel/duan-yao/hong-kong", "12Go Link")</f>
        <v>12Go Link</v>
      </c>
      <c r="E1482" s="3" t="s">
        <v>94</v>
      </c>
      <c r="K1482" s="5"/>
    </row>
    <row r="1483">
      <c r="A1483" s="3" t="s">
        <v>1518</v>
      </c>
      <c r="B1483" s="3" t="s">
        <v>1412</v>
      </c>
      <c r="C1483" s="3" t="s">
        <v>1545</v>
      </c>
      <c r="D1483" s="4" t="str">
        <f>HYPERLINK("https://12go.asia/en/travel/duan-yao/kowloon", "12Go Link")</f>
        <v>12Go Link</v>
      </c>
      <c r="E1483" s="3" t="s">
        <v>94</v>
      </c>
      <c r="K1483" s="5"/>
    </row>
    <row r="1484">
      <c r="A1484" s="3" t="s">
        <v>937</v>
      </c>
      <c r="B1484" s="3" t="s">
        <v>745</v>
      </c>
      <c r="C1484" s="3" t="s">
        <v>1546</v>
      </c>
      <c r="D1484" s="4" t="str">
        <f>HYPERLINK("https://12go.asia/en/travel/duanzhou/changsha", "12Go Link")</f>
        <v>12Go Link</v>
      </c>
      <c r="E1484" s="3" t="s">
        <v>94</v>
      </c>
      <c r="K1484" s="5"/>
    </row>
    <row r="1485">
      <c r="A1485" s="3" t="s">
        <v>937</v>
      </c>
      <c r="B1485" s="3" t="s">
        <v>1364</v>
      </c>
      <c r="C1485" s="3" t="s">
        <v>1547</v>
      </c>
      <c r="D1485" s="4" t="str">
        <f>HYPERLINK("https://12go.asia/en/travel/duanzhou/guangdong", "12Go Link")</f>
        <v>12Go Link</v>
      </c>
      <c r="E1485" s="3" t="s">
        <v>94</v>
      </c>
      <c r="K1485" s="5"/>
    </row>
    <row r="1486">
      <c r="A1486" s="3" t="s">
        <v>937</v>
      </c>
      <c r="B1486" s="3" t="s">
        <v>851</v>
      </c>
      <c r="C1486" s="3" t="s">
        <v>1548</v>
      </c>
      <c r="D1486" s="4" t="str">
        <f>HYPERLINK("https://12go.asia/en/travel/duanzhou/guangxi", "12Go Link")</f>
        <v>12Go Link</v>
      </c>
      <c r="E1486" s="3" t="s">
        <v>94</v>
      </c>
      <c r="K1486" s="5"/>
    </row>
    <row r="1487">
      <c r="A1487" s="3" t="s">
        <v>937</v>
      </c>
      <c r="B1487" s="3" t="s">
        <v>1366</v>
      </c>
      <c r="C1487" s="3" t="s">
        <v>1549</v>
      </c>
      <c r="D1487" s="4" t="str">
        <f>HYPERLINK("https://12go.asia/en/travel/duanzhou/guangzhou", "12Go Link")</f>
        <v>12Go Link</v>
      </c>
      <c r="E1487" s="3" t="s">
        <v>94</v>
      </c>
      <c r="K1487" s="5"/>
    </row>
    <row r="1488">
      <c r="A1488" s="3" t="s">
        <v>937</v>
      </c>
      <c r="B1488" s="3" t="s">
        <v>632</v>
      </c>
      <c r="C1488" s="3" t="s">
        <v>1550</v>
      </c>
      <c r="D1488" s="4" t="str">
        <f>HYPERLINK("https://12go.asia/en/travel/duanzhou/huaxi", "12Go Link")</f>
        <v>12Go Link</v>
      </c>
      <c r="E1488" s="3" t="s">
        <v>94</v>
      </c>
      <c r="K1488" s="5"/>
    </row>
    <row r="1489">
      <c r="A1489" s="3" t="s">
        <v>937</v>
      </c>
      <c r="B1489" s="3" t="s">
        <v>536</v>
      </c>
      <c r="C1489" s="3" t="s">
        <v>1551</v>
      </c>
      <c r="D1489" s="4" t="str">
        <f>HYPERLINK("https://12go.asia/en/travel/duanzhou/hunan", "12Go Link")</f>
        <v>12Go Link</v>
      </c>
      <c r="E1489" s="3" t="s">
        <v>94</v>
      </c>
      <c r="K1489" s="5"/>
    </row>
    <row r="1490">
      <c r="A1490" s="3" t="s">
        <v>937</v>
      </c>
      <c r="B1490" s="3" t="s">
        <v>1529</v>
      </c>
      <c r="C1490" s="3" t="s">
        <v>1552</v>
      </c>
      <c r="D1490" s="4" t="str">
        <f>HYPERLINK("https://12go.asia/en/travel/duanzhou/kunming", "12Go Link")</f>
        <v>12Go Link</v>
      </c>
      <c r="E1490" s="3" t="s">
        <v>94</v>
      </c>
      <c r="K1490" s="5"/>
    </row>
    <row r="1491">
      <c r="A1491" s="3" t="s">
        <v>937</v>
      </c>
      <c r="B1491" s="3" t="s">
        <v>674</v>
      </c>
      <c r="C1491" s="3" t="s">
        <v>1553</v>
      </c>
      <c r="D1491" s="4" t="str">
        <f>HYPERLINK("https://12go.asia/en/travel/duanzhou/maoming", "12Go Link")</f>
        <v>12Go Link</v>
      </c>
      <c r="E1491" s="3" t="s">
        <v>94</v>
      </c>
      <c r="K1491" s="5"/>
    </row>
    <row r="1492">
      <c r="A1492" s="3" t="s">
        <v>937</v>
      </c>
      <c r="B1492" s="3" t="s">
        <v>679</v>
      </c>
      <c r="C1492" s="3" t="s">
        <v>1554</v>
      </c>
      <c r="D1492" s="4" t="str">
        <f>HYPERLINK("https://12go.asia/en/travel/duanzhou/mingxi", "12Go Link")</f>
        <v>12Go Link</v>
      </c>
      <c r="E1492" s="3" t="s">
        <v>94</v>
      </c>
      <c r="K1492" s="5"/>
    </row>
    <row r="1493">
      <c r="A1493" s="3" t="s">
        <v>937</v>
      </c>
      <c r="B1493" s="3" t="s">
        <v>1534</v>
      </c>
      <c r="C1493" s="3" t="s">
        <v>1555</v>
      </c>
      <c r="D1493" s="4" t="str">
        <f>HYPERLINK("https://12go.asia/en/travel/duanzhou/nanning", "12Go Link")</f>
        <v>12Go Link</v>
      </c>
      <c r="E1493" s="3" t="s">
        <v>94</v>
      </c>
      <c r="K1493" s="5"/>
    </row>
    <row r="1494">
      <c r="A1494" s="3" t="s">
        <v>937</v>
      </c>
      <c r="B1494" s="3" t="s">
        <v>694</v>
      </c>
      <c r="C1494" s="3" t="s">
        <v>1556</v>
      </c>
      <c r="D1494" s="4" t="str">
        <f>HYPERLINK("https://12go.asia/en/travel/duanzhou/shaoguan", "12Go Link")</f>
        <v>12Go Link</v>
      </c>
      <c r="E1494" s="3" t="s">
        <v>94</v>
      </c>
      <c r="K1494" s="5"/>
    </row>
    <row r="1495">
      <c r="A1495" s="3" t="s">
        <v>937</v>
      </c>
      <c r="B1495" s="3" t="s">
        <v>1395</v>
      </c>
      <c r="C1495" s="3" t="s">
        <v>1557</v>
      </c>
      <c r="D1495" s="4" t="str">
        <f>HYPERLINK("https://12go.asia/en/travel/duanzhou/shenzhen", "12Go Link")</f>
        <v>12Go Link</v>
      </c>
      <c r="E1495" s="3" t="s">
        <v>94</v>
      </c>
      <c r="K1495" s="5"/>
    </row>
    <row r="1496">
      <c r="A1496" s="3" t="s">
        <v>937</v>
      </c>
      <c r="B1496" s="3" t="s">
        <v>564</v>
      </c>
      <c r="C1496" s="3" t="s">
        <v>1558</v>
      </c>
      <c r="D1496" s="4" t="str">
        <f>HYPERLINK("https://12go.asia/en/travel/duanzhou/tianxin", "12Go Link")</f>
        <v>12Go Link</v>
      </c>
      <c r="E1496" s="3" t="s">
        <v>94</v>
      </c>
      <c r="K1496" s="5"/>
    </row>
    <row r="1497">
      <c r="A1497" s="3" t="s">
        <v>937</v>
      </c>
      <c r="B1497" s="3" t="s">
        <v>1559</v>
      </c>
      <c r="C1497" s="3" t="s">
        <v>1560</v>
      </c>
      <c r="D1497" s="4" t="str">
        <f>HYPERLINK("https://12go.asia/en/travel/duanzhou/yulin-guangxi", "12Go Link")</f>
        <v>12Go Link</v>
      </c>
      <c r="E1497" s="3" t="s">
        <v>94</v>
      </c>
      <c r="K1497" s="5"/>
    </row>
    <row r="1498">
      <c r="A1498" s="3" t="s">
        <v>937</v>
      </c>
      <c r="B1498" s="3" t="s">
        <v>1540</v>
      </c>
      <c r="C1498" s="3" t="s">
        <v>1561</v>
      </c>
      <c r="D1498" s="4" t="str">
        <f>HYPERLINK("https://12go.asia/en/travel/duanzhou/yunnan", "12Go Link")</f>
        <v>12Go Link</v>
      </c>
      <c r="E1498" s="3" t="s">
        <v>94</v>
      </c>
      <c r="K1498" s="5"/>
    </row>
    <row r="1499">
      <c r="A1499" s="3" t="s">
        <v>1562</v>
      </c>
      <c r="B1499" s="3" t="s">
        <v>1395</v>
      </c>
      <c r="C1499" s="3" t="s">
        <v>1563</v>
      </c>
      <c r="D1499" s="4" t="str">
        <f>HYPERLINK("https://12go.asia/en/travel/enping/shenzhen", "12Go Link")</f>
        <v>12Go Link</v>
      </c>
      <c r="E1499" s="3" t="s">
        <v>94</v>
      </c>
      <c r="K1499" s="5"/>
    </row>
    <row r="1500">
      <c r="A1500" s="3" t="s">
        <v>1562</v>
      </c>
      <c r="B1500" s="3" t="s">
        <v>1395</v>
      </c>
      <c r="C1500" s="3" t="s">
        <v>1564</v>
      </c>
      <c r="D1500" s="4" t="str">
        <f>HYPERLINK("https://12go.asia/en/travel/enping/shenzhen-north", "12Go Link")</f>
        <v>12Go Link</v>
      </c>
      <c r="E1500" s="3" t="s">
        <v>94</v>
      </c>
      <c r="K1500" s="5"/>
    </row>
    <row r="1501">
      <c r="A1501" s="3" t="s">
        <v>1565</v>
      </c>
      <c r="B1501" s="3" t="s">
        <v>1026</v>
      </c>
      <c r="C1501" s="3" t="s">
        <v>1566</v>
      </c>
      <c r="D1501" s="4" t="str">
        <f>HYPERLINK("https://12go.asia/en/travel/erenhot/baotou", "12Go Link")</f>
        <v>12Go Link</v>
      </c>
      <c r="E1501" s="3" t="s">
        <v>94</v>
      </c>
      <c r="K1501" s="5"/>
    </row>
    <row r="1502">
      <c r="A1502" s="3" t="s">
        <v>1565</v>
      </c>
      <c r="B1502" s="3" t="s">
        <v>602</v>
      </c>
      <c r="C1502" s="3" t="s">
        <v>1567</v>
      </c>
      <c r="D1502" s="4" t="str">
        <f>HYPERLINK("https://12go.asia/en/travel/erenhot/danzhou", "12Go Link")</f>
        <v>12Go Link</v>
      </c>
      <c r="E1502" s="3" t="s">
        <v>94</v>
      </c>
      <c r="K1502" s="5"/>
    </row>
    <row r="1503">
      <c r="A1503" s="3" t="s">
        <v>1565</v>
      </c>
      <c r="B1503" s="3" t="s">
        <v>602</v>
      </c>
      <c r="C1503" s="3" t="s">
        <v>1568</v>
      </c>
      <c r="D1503" s="4" t="str">
        <f>HYPERLINK("https://12go.asia/en/travel/erenhot/salaqi", "12Go Link")</f>
        <v>12Go Link</v>
      </c>
      <c r="E1503" s="3" t="s">
        <v>94</v>
      </c>
      <c r="K1503" s="5"/>
    </row>
    <row r="1504">
      <c r="A1504" s="3" t="s">
        <v>1565</v>
      </c>
      <c r="B1504" s="3" t="s">
        <v>626</v>
      </c>
      <c r="C1504" s="3" t="s">
        <v>1569</v>
      </c>
      <c r="D1504" s="4" t="str">
        <f>HYPERLINK("https://12go.asia/en/travel/erenhot/huade", "12Go Link")</f>
        <v>12Go Link</v>
      </c>
      <c r="E1504" s="3" t="s">
        <v>94</v>
      </c>
      <c r="K1504" s="5"/>
    </row>
    <row r="1505">
      <c r="A1505" s="3" t="s">
        <v>1570</v>
      </c>
      <c r="B1505" s="3" t="s">
        <v>1571</v>
      </c>
      <c r="C1505" s="3" t="s">
        <v>1572</v>
      </c>
      <c r="D1505" s="4" t="str">
        <f>HYPERLINK("https://12go.asia/en/travel/ergun-zuoqi/yakeshi", "12Go Link")</f>
        <v>12Go Link</v>
      </c>
      <c r="E1505" s="3" t="s">
        <v>94</v>
      </c>
      <c r="K1505" s="5"/>
    </row>
    <row r="1506">
      <c r="A1506" s="3" t="s">
        <v>1570</v>
      </c>
      <c r="B1506" s="3" t="s">
        <v>1571</v>
      </c>
      <c r="C1506" s="3" t="s">
        <v>1573</v>
      </c>
      <c r="D1506" s="4" t="str">
        <f>HYPERLINK("https://12go.asia/en/travel/genhe/yakeshi", "12Go Link")</f>
        <v>12Go Link</v>
      </c>
      <c r="E1506" s="3" t="s">
        <v>94</v>
      </c>
      <c r="K1506" s="5"/>
    </row>
    <row r="1507">
      <c r="A1507" s="3" t="s">
        <v>1574</v>
      </c>
      <c r="B1507" s="3" t="s">
        <v>745</v>
      </c>
      <c r="C1507" s="3" t="s">
        <v>1575</v>
      </c>
      <c r="D1507" s="4" t="str">
        <f>HYPERLINK("https://12go.asia/en/travel/fenghuang/changsha", "12Go Link")</f>
        <v>12Go Link</v>
      </c>
      <c r="E1507" s="3" t="s">
        <v>94</v>
      </c>
      <c r="K1507" s="5"/>
    </row>
    <row r="1508">
      <c r="A1508" s="3" t="s">
        <v>1574</v>
      </c>
      <c r="B1508" s="3" t="s">
        <v>745</v>
      </c>
      <c r="C1508" s="3" t="s">
        <v>1576</v>
      </c>
      <c r="D1508" s="4" t="str">
        <f>HYPERLINK("https://12go.asia/en/travel/fenghuanggucheng/changsha-south", "12Go Link")</f>
        <v>12Go Link</v>
      </c>
      <c r="E1508" s="3" t="s">
        <v>94</v>
      </c>
      <c r="K1508" s="5"/>
    </row>
    <row r="1509">
      <c r="A1509" s="3" t="s">
        <v>1521</v>
      </c>
      <c r="B1509" s="3" t="s">
        <v>522</v>
      </c>
      <c r="C1509" s="3" t="s">
        <v>1577</v>
      </c>
      <c r="D1509" s="4" t="str">
        <f>HYPERLINK("https://12go.asia/en/travel/foshan-west/congjiang", "12Go Link")</f>
        <v>12Go Link</v>
      </c>
      <c r="E1509" s="3" t="s">
        <v>94</v>
      </c>
      <c r="K1509" s="5"/>
    </row>
    <row r="1510">
      <c r="A1510" s="3" t="s">
        <v>1521</v>
      </c>
      <c r="B1510" s="3" t="s">
        <v>1578</v>
      </c>
      <c r="C1510" s="3" t="s">
        <v>1579</v>
      </c>
      <c r="D1510" s="4" t="str">
        <f>HYPERLINK("https://12go.asia/en/travel/foshan-west/zhongshan-west", "12Go Link")</f>
        <v>12Go Link</v>
      </c>
      <c r="E1510" s="3" t="s">
        <v>94</v>
      </c>
      <c r="K1510" s="5"/>
    </row>
    <row r="1511">
      <c r="A1511" s="3" t="s">
        <v>1360</v>
      </c>
      <c r="B1511" s="3" t="s">
        <v>1395</v>
      </c>
      <c r="C1511" s="3" t="s">
        <v>1580</v>
      </c>
      <c r="D1511" s="4" t="str">
        <f>HYPERLINK("https://12go.asia/en/travel/zhangpu/shenzhen-north", "12Go Link")</f>
        <v>12Go Link</v>
      </c>
      <c r="E1511" s="3" t="s">
        <v>94</v>
      </c>
      <c r="K1511" s="5"/>
    </row>
    <row r="1512">
      <c r="A1512" s="3" t="s">
        <v>1089</v>
      </c>
      <c r="B1512" s="3" t="s">
        <v>865</v>
      </c>
      <c r="C1512" s="3" t="s">
        <v>1581</v>
      </c>
      <c r="D1512" s="4" t="str">
        <f>HYPERLINK("https://12go.asia/en/travel/fuxin-south/huludao", "12Go Link")</f>
        <v>12Go Link</v>
      </c>
      <c r="E1512" s="3" t="s">
        <v>94</v>
      </c>
      <c r="K1512" s="5"/>
    </row>
    <row r="1513">
      <c r="A1513" s="3" t="s">
        <v>1089</v>
      </c>
      <c r="B1513" s="3" t="s">
        <v>865</v>
      </c>
      <c r="C1513" s="3" t="s">
        <v>1582</v>
      </c>
      <c r="D1513" s="4" t="str">
        <f>HYPERLINK("https://12go.asia/en/travel/fuxin/huludao", "12Go Link")</f>
        <v>12Go Link</v>
      </c>
      <c r="E1513" s="3" t="s">
        <v>94</v>
      </c>
      <c r="K1513" s="5"/>
    </row>
    <row r="1514">
      <c r="A1514" s="3" t="s">
        <v>1421</v>
      </c>
      <c r="B1514" s="3" t="s">
        <v>1583</v>
      </c>
      <c r="C1514" s="3" t="s">
        <v>1584</v>
      </c>
      <c r="D1514" s="4" t="str">
        <f>HYPERLINK("https://12go.asia/en/travel/fuyang-anhui/jingdezhen", "12Go Link")</f>
        <v>12Go Link</v>
      </c>
      <c r="E1514" s="3" t="s">
        <v>94</v>
      </c>
      <c r="K1514" s="5"/>
    </row>
    <row r="1515">
      <c r="A1515" s="3" t="s">
        <v>1421</v>
      </c>
      <c r="B1515" s="3" t="s">
        <v>1583</v>
      </c>
      <c r="C1515" s="3" t="s">
        <v>1585</v>
      </c>
      <c r="D1515" s="4" t="str">
        <f>HYPERLINK("https://12go.asia/en/travel/fuyang-west/jingdezhen-north", "12Go Link")</f>
        <v>12Go Link</v>
      </c>
      <c r="E1515" s="3" t="s">
        <v>94</v>
      </c>
      <c r="K1515" s="5"/>
    </row>
    <row r="1516">
      <c r="A1516" s="3" t="s">
        <v>1362</v>
      </c>
      <c r="B1516" s="3" t="s">
        <v>1360</v>
      </c>
      <c r="C1516" s="3" t="s">
        <v>1586</v>
      </c>
      <c r="D1516" s="4" t="str">
        <f>HYPERLINK("https://12go.asia/en/travel/fuzhou-south/changle-east", "12Go Link")</f>
        <v>12Go Link</v>
      </c>
      <c r="E1516" s="3" t="s">
        <v>94</v>
      </c>
      <c r="K1516" s="5"/>
    </row>
    <row r="1517">
      <c r="A1517" s="3" t="s">
        <v>520</v>
      </c>
      <c r="B1517" s="3" t="s">
        <v>587</v>
      </c>
      <c r="C1517" s="3" t="s">
        <v>1587</v>
      </c>
      <c r="D1517" s="4" t="str">
        <f>HYPERLINK("https://12go.asia/en/travel/gansu/baoding", "12Go Link")</f>
        <v>12Go Link</v>
      </c>
      <c r="E1517" s="3" t="s">
        <v>94</v>
      </c>
      <c r="K1517" s="5"/>
    </row>
    <row r="1518">
      <c r="A1518" s="3" t="s">
        <v>520</v>
      </c>
      <c r="B1518" s="3" t="s">
        <v>831</v>
      </c>
      <c r="C1518" s="3" t="s">
        <v>1588</v>
      </c>
      <c r="D1518" s="4" t="str">
        <f>HYPERLINK("https://12go.asia/en/travel/gansu/changzhou", "12Go Link")</f>
        <v>12Go Link</v>
      </c>
      <c r="E1518" s="3" t="s">
        <v>94</v>
      </c>
      <c r="K1518" s="5"/>
    </row>
    <row r="1519">
      <c r="A1519" s="3" t="s">
        <v>520</v>
      </c>
      <c r="B1519" s="3" t="s">
        <v>1589</v>
      </c>
      <c r="C1519" s="3" t="s">
        <v>1590</v>
      </c>
      <c r="D1519" s="4" t="str">
        <f>HYPERLINK("https://12go.asia/en/travel/gansu/datong", "12Go Link")</f>
        <v>12Go Link</v>
      </c>
      <c r="E1519" s="3" t="s">
        <v>94</v>
      </c>
      <c r="K1519" s="5"/>
    </row>
    <row r="1520">
      <c r="A1520" s="3" t="s">
        <v>520</v>
      </c>
      <c r="B1520" s="3" t="s">
        <v>1209</v>
      </c>
      <c r="C1520" s="3" t="s">
        <v>1591</v>
      </c>
      <c r="D1520" s="4" t="str">
        <f>HYPERLINK("https://12go.asia/en/travel/gansu/guangyuan", "12Go Link")</f>
        <v>12Go Link</v>
      </c>
      <c r="E1520" s="3" t="s">
        <v>94</v>
      </c>
      <c r="K1520" s="5"/>
    </row>
    <row r="1521">
      <c r="A1521" s="3" t="s">
        <v>520</v>
      </c>
      <c r="B1521" s="3" t="s">
        <v>524</v>
      </c>
      <c r="C1521" s="3" t="s">
        <v>1592</v>
      </c>
      <c r="D1521" s="4" t="str">
        <f>HYPERLINK("https://12go.asia/en/travel/gansu/guzhang", "12Go Link")</f>
        <v>12Go Link</v>
      </c>
      <c r="E1521" s="3" t="s">
        <v>94</v>
      </c>
      <c r="K1521" s="5"/>
    </row>
    <row r="1522">
      <c r="A1522" s="3" t="s">
        <v>520</v>
      </c>
      <c r="B1522" s="3" t="s">
        <v>1593</v>
      </c>
      <c r="C1522" s="3" t="s">
        <v>1594</v>
      </c>
      <c r="D1522" s="4" t="str">
        <f>HYPERLINK("https://12go.asia/en/travel/gansu/haidong", "12Go Link")</f>
        <v>12Go Link</v>
      </c>
      <c r="E1522" s="3" t="s">
        <v>94</v>
      </c>
      <c r="K1522" s="5"/>
    </row>
    <row r="1523">
      <c r="A1523" s="3" t="s">
        <v>520</v>
      </c>
      <c r="B1523" s="3" t="s">
        <v>526</v>
      </c>
      <c r="C1523" s="3" t="s">
        <v>1595</v>
      </c>
      <c r="D1523" s="4" t="str">
        <f>HYPERLINK("https://12go.asia/en/travel/gansu/harbin", "12Go Link")</f>
        <v>12Go Link</v>
      </c>
      <c r="E1523" s="3" t="s">
        <v>94</v>
      </c>
      <c r="K1523" s="5"/>
    </row>
    <row r="1524">
      <c r="A1524" s="3" t="s">
        <v>520</v>
      </c>
      <c r="B1524" s="3" t="s">
        <v>530</v>
      </c>
      <c r="C1524" s="3" t="s">
        <v>1596</v>
      </c>
      <c r="D1524" s="4" t="str">
        <f>HYPERLINK("https://12go.asia/en/travel/gansu/hebei", "12Go Link")</f>
        <v>12Go Link</v>
      </c>
      <c r="E1524" s="3" t="s">
        <v>94</v>
      </c>
      <c r="K1524" s="5"/>
    </row>
    <row r="1525">
      <c r="A1525" s="3" t="s">
        <v>520</v>
      </c>
      <c r="B1525" s="3" t="s">
        <v>532</v>
      </c>
      <c r="C1525" s="3" t="s">
        <v>1597</v>
      </c>
      <c r="D1525" s="4" t="str">
        <f>HYPERLINK("https://12go.asia/en/travel/gansu/heilongjiang", "12Go Link")</f>
        <v>12Go Link</v>
      </c>
      <c r="E1525" s="3" t="s">
        <v>94</v>
      </c>
      <c r="K1525" s="5"/>
    </row>
    <row r="1526">
      <c r="A1526" s="3" t="s">
        <v>520</v>
      </c>
      <c r="B1526" s="3" t="s">
        <v>632</v>
      </c>
      <c r="C1526" s="3" t="s">
        <v>1598</v>
      </c>
      <c r="D1526" s="4" t="str">
        <f>HYPERLINK("https://12go.asia/en/travel/gansu/huaxi", "12Go Link")</f>
        <v>12Go Link</v>
      </c>
      <c r="E1526" s="3" t="s">
        <v>94</v>
      </c>
      <c r="K1526" s="5"/>
    </row>
    <row r="1527">
      <c r="A1527" s="3" t="s">
        <v>520</v>
      </c>
      <c r="B1527" s="3" t="s">
        <v>643</v>
      </c>
      <c r="C1527" s="3" t="s">
        <v>1599</v>
      </c>
      <c r="D1527" s="4" t="str">
        <f>HYPERLINK("https://12go.asia/en/travel/gansu/jiangning", "12Go Link")</f>
        <v>12Go Link</v>
      </c>
      <c r="E1527" s="3" t="s">
        <v>94</v>
      </c>
      <c r="K1527" s="5"/>
    </row>
    <row r="1528">
      <c r="A1528" s="3" t="s">
        <v>520</v>
      </c>
      <c r="B1528" s="3" t="s">
        <v>763</v>
      </c>
      <c r="C1528" s="3" t="s">
        <v>1600</v>
      </c>
      <c r="D1528" s="4" t="str">
        <f>HYPERLINK("https://12go.asia/en/travel/gansu/jiangsu", "12Go Link")</f>
        <v>12Go Link</v>
      </c>
      <c r="E1528" s="3" t="s">
        <v>94</v>
      </c>
      <c r="K1528" s="5"/>
    </row>
    <row r="1529">
      <c r="A1529" s="3" t="s">
        <v>520</v>
      </c>
      <c r="B1529" s="3" t="s">
        <v>538</v>
      </c>
      <c r="C1529" s="3" t="s">
        <v>1601</v>
      </c>
      <c r="D1529" s="4" t="str">
        <f>HYPERLINK("https://12go.asia/en/travel/gansu/jiangxi", "12Go Link")</f>
        <v>12Go Link</v>
      </c>
      <c r="E1529" s="3" t="s">
        <v>94</v>
      </c>
      <c r="K1529" s="5"/>
    </row>
    <row r="1530">
      <c r="A1530" s="3" t="s">
        <v>520</v>
      </c>
      <c r="B1530" s="3" t="s">
        <v>540</v>
      </c>
      <c r="C1530" s="3" t="s">
        <v>1602</v>
      </c>
      <c r="D1530" s="4" t="str">
        <f>HYPERLINK("https://12go.asia/en/travel/gansu/jiangzhou", "12Go Link")</f>
        <v>12Go Link</v>
      </c>
      <c r="E1530" s="3" t="s">
        <v>94</v>
      </c>
      <c r="K1530" s="5"/>
    </row>
    <row r="1531">
      <c r="A1531" s="3" t="s">
        <v>520</v>
      </c>
      <c r="B1531" s="3" t="s">
        <v>542</v>
      </c>
      <c r="C1531" s="3" t="s">
        <v>1603</v>
      </c>
      <c r="D1531" s="4" t="str">
        <f>HYPERLINK("https://12go.asia/en/travel/gansu/jiaocheng", "12Go Link")</f>
        <v>12Go Link</v>
      </c>
      <c r="E1531" s="3" t="s">
        <v>94</v>
      </c>
      <c r="K1531" s="5"/>
    </row>
    <row r="1532">
      <c r="A1532" s="3" t="s">
        <v>520</v>
      </c>
      <c r="B1532" s="3" t="s">
        <v>1240</v>
      </c>
      <c r="C1532" s="3" t="s">
        <v>1604</v>
      </c>
      <c r="D1532" s="4" t="str">
        <f>HYPERLINK("https://12go.asia/en/travel/gansu/jinan", "12Go Link")</f>
        <v>12Go Link</v>
      </c>
      <c r="E1532" s="3" t="s">
        <v>94</v>
      </c>
      <c r="K1532" s="5"/>
    </row>
    <row r="1533">
      <c r="A1533" s="3" t="s">
        <v>520</v>
      </c>
      <c r="B1533" s="3" t="s">
        <v>1605</v>
      </c>
      <c r="C1533" s="3" t="s">
        <v>1606</v>
      </c>
      <c r="D1533" s="4" t="str">
        <f>HYPERLINK("https://12go.asia/en/travel/gansu/jinta", "12Go Link")</f>
        <v>12Go Link</v>
      </c>
      <c r="E1533" s="3" t="s">
        <v>94</v>
      </c>
      <c r="K1533" s="5"/>
    </row>
    <row r="1534">
      <c r="A1534" s="3" t="s">
        <v>520</v>
      </c>
      <c r="B1534" s="3" t="s">
        <v>1105</v>
      </c>
      <c r="C1534" s="3" t="s">
        <v>1607</v>
      </c>
      <c r="D1534" s="4" t="str">
        <f>HYPERLINK("https://12go.asia/en/travel/gansu/liaoning", "12Go Link")</f>
        <v>12Go Link</v>
      </c>
      <c r="E1534" s="3" t="s">
        <v>94</v>
      </c>
      <c r="K1534" s="5"/>
    </row>
    <row r="1535">
      <c r="A1535" s="3" t="s">
        <v>520</v>
      </c>
      <c r="B1535" s="3" t="s">
        <v>1386</v>
      </c>
      <c r="C1535" s="3" t="s">
        <v>1608</v>
      </c>
      <c r="D1535" s="4" t="str">
        <f>HYPERLINK("https://12go.asia/en/travel/gansu/luoyang", "12Go Link")</f>
        <v>12Go Link</v>
      </c>
      <c r="E1535" s="3" t="s">
        <v>94</v>
      </c>
      <c r="K1535" s="5"/>
    </row>
    <row r="1536">
      <c r="A1536" s="3" t="s">
        <v>520</v>
      </c>
      <c r="B1536" s="3" t="s">
        <v>1609</v>
      </c>
      <c r="C1536" s="3" t="s">
        <v>1610</v>
      </c>
      <c r="D1536" s="4" t="str">
        <f>HYPERLINK("https://12go.asia/en/travel/gansu/mianyang", "12Go Link")</f>
        <v>12Go Link</v>
      </c>
      <c r="E1536" s="3" t="s">
        <v>94</v>
      </c>
      <c r="K1536" s="5"/>
    </row>
    <row r="1537">
      <c r="A1537" s="3" t="s">
        <v>520</v>
      </c>
      <c r="B1537" s="3" t="s">
        <v>874</v>
      </c>
      <c r="C1537" s="3" t="s">
        <v>1611</v>
      </c>
      <c r="D1537" s="4" t="str">
        <f>HYPERLINK("https://12go.asia/en/travel/gansu/nanchang", "12Go Link")</f>
        <v>12Go Link</v>
      </c>
      <c r="E1537" s="3" t="s">
        <v>94</v>
      </c>
      <c r="K1537" s="5"/>
    </row>
    <row r="1538">
      <c r="A1538" s="3" t="s">
        <v>520</v>
      </c>
      <c r="B1538" s="3" t="s">
        <v>1612</v>
      </c>
      <c r="C1538" s="3" t="s">
        <v>1613</v>
      </c>
      <c r="D1538" s="4" t="str">
        <f>HYPERLINK("https://12go.asia/en/travel/gansu/ningbo", "12Go Link")</f>
        <v>12Go Link</v>
      </c>
      <c r="E1538" s="3" t="s">
        <v>94</v>
      </c>
      <c r="K1538" s="5"/>
    </row>
    <row r="1539">
      <c r="A1539" s="3" t="s">
        <v>520</v>
      </c>
      <c r="B1539" s="3" t="s">
        <v>1614</v>
      </c>
      <c r="C1539" s="3" t="s">
        <v>1615</v>
      </c>
      <c r="D1539" s="4" t="str">
        <f>HYPERLINK("https://12go.asia/en/travel/gansu/pingliang", "12Go Link")</f>
        <v>12Go Link</v>
      </c>
      <c r="E1539" s="3" t="s">
        <v>94</v>
      </c>
      <c r="K1539" s="5"/>
    </row>
    <row r="1540">
      <c r="A1540" s="3" t="s">
        <v>520</v>
      </c>
      <c r="B1540" s="3" t="s">
        <v>1467</v>
      </c>
      <c r="C1540" s="3" t="s">
        <v>1616</v>
      </c>
      <c r="D1540" s="4" t="str">
        <f>HYPERLINK("https://12go.asia/en/travel/gansu/qingdao", "12Go Link")</f>
        <v>12Go Link</v>
      </c>
      <c r="E1540" s="3" t="s">
        <v>94</v>
      </c>
      <c r="K1540" s="5"/>
    </row>
    <row r="1541">
      <c r="A1541" s="3" t="s">
        <v>520</v>
      </c>
      <c r="B1541" s="3" t="s">
        <v>548</v>
      </c>
      <c r="C1541" s="3" t="s">
        <v>1617</v>
      </c>
      <c r="D1541" s="4" t="str">
        <f>HYPERLINK("https://12go.asia/en/travel/gansu/qinghai", "12Go Link")</f>
        <v>12Go Link</v>
      </c>
      <c r="E1541" s="3" t="s">
        <v>94</v>
      </c>
      <c r="K1541" s="5"/>
    </row>
    <row r="1542">
      <c r="A1542" s="3" t="s">
        <v>520</v>
      </c>
      <c r="B1542" s="3" t="s">
        <v>550</v>
      </c>
      <c r="C1542" s="3" t="s">
        <v>1618</v>
      </c>
      <c r="D1542" s="4" t="str">
        <f>HYPERLINK("https://12go.asia/en/travel/gansu/saihan", "12Go Link")</f>
        <v>12Go Link</v>
      </c>
      <c r="E1542" s="3" t="s">
        <v>94</v>
      </c>
      <c r="K1542" s="5"/>
    </row>
    <row r="1543">
      <c r="A1543" s="3" t="s">
        <v>520</v>
      </c>
      <c r="B1543" s="3" t="s">
        <v>1252</v>
      </c>
      <c r="C1543" s="3" t="s">
        <v>1619</v>
      </c>
      <c r="D1543" s="4" t="str">
        <f>HYPERLINK("https://12go.asia/en/travel/gansu/shandong", "12Go Link")</f>
        <v>12Go Link</v>
      </c>
      <c r="E1543" s="3" t="s">
        <v>94</v>
      </c>
      <c r="K1543" s="5"/>
    </row>
    <row r="1544">
      <c r="A1544" s="3" t="s">
        <v>520</v>
      </c>
      <c r="B1544" s="3" t="s">
        <v>1057</v>
      </c>
      <c r="C1544" s="3" t="s">
        <v>1620</v>
      </c>
      <c r="D1544" s="4" t="str">
        <f>HYPERLINK("https://12go.asia/en/travel/gansu/shangqiu", "12Go Link")</f>
        <v>12Go Link</v>
      </c>
      <c r="E1544" s="3" t="s">
        <v>94</v>
      </c>
      <c r="K1544" s="5"/>
    </row>
    <row r="1545">
      <c r="A1545" s="3" t="s">
        <v>520</v>
      </c>
      <c r="B1545" s="3" t="s">
        <v>554</v>
      </c>
      <c r="C1545" s="3" t="s">
        <v>1621</v>
      </c>
      <c r="D1545" s="4" t="str">
        <f>HYPERLINK("https://12go.asia/en/travel/gansu/shenyang", "12Go Link")</f>
        <v>12Go Link</v>
      </c>
      <c r="E1545" s="3" t="s">
        <v>94</v>
      </c>
      <c r="K1545" s="5"/>
    </row>
    <row r="1546">
      <c r="A1546" s="3" t="s">
        <v>520</v>
      </c>
      <c r="B1546" s="3" t="s">
        <v>878</v>
      </c>
      <c r="C1546" s="3" t="s">
        <v>1622</v>
      </c>
      <c r="D1546" s="4" t="str">
        <f>HYPERLINK("https://12go.asia/en/travel/gansu/shijiazhuang", "12Go Link")</f>
        <v>12Go Link</v>
      </c>
      <c r="E1546" s="3" t="s">
        <v>94</v>
      </c>
      <c r="K1546" s="5"/>
    </row>
    <row r="1547">
      <c r="A1547" s="3" t="s">
        <v>520</v>
      </c>
      <c r="B1547" s="3" t="s">
        <v>560</v>
      </c>
      <c r="C1547" s="3" t="s">
        <v>1623</v>
      </c>
      <c r="D1547" s="4" t="str">
        <f>HYPERLINK("https://12go.asia/en/travel/gansu/shuangliu", "12Go Link")</f>
        <v>12Go Link</v>
      </c>
      <c r="E1547" s="3" t="s">
        <v>94</v>
      </c>
      <c r="K1547" s="5"/>
    </row>
    <row r="1548">
      <c r="A1548" s="3" t="s">
        <v>520</v>
      </c>
      <c r="B1548" s="3" t="s">
        <v>1256</v>
      </c>
      <c r="C1548" s="3" t="s">
        <v>1624</v>
      </c>
      <c r="D1548" s="4" t="str">
        <f>HYPERLINK("https://12go.asia/en/travel/gansu/suzhou", "12Go Link")</f>
        <v>12Go Link</v>
      </c>
      <c r="E1548" s="3" t="s">
        <v>94</v>
      </c>
      <c r="K1548" s="5"/>
    </row>
    <row r="1549">
      <c r="A1549" s="3" t="s">
        <v>520</v>
      </c>
      <c r="B1549" s="3" t="s">
        <v>883</v>
      </c>
      <c r="C1549" s="3" t="s">
        <v>1625</v>
      </c>
      <c r="D1549" s="4" t="str">
        <f>HYPERLINK("https://12go.asia/en/travel/gansu/taian", "12Go Link")</f>
        <v>12Go Link</v>
      </c>
      <c r="E1549" s="3" t="s">
        <v>94</v>
      </c>
      <c r="K1549" s="5"/>
    </row>
    <row r="1550">
      <c r="A1550" s="3" t="s">
        <v>520</v>
      </c>
      <c r="B1550" s="3" t="s">
        <v>997</v>
      </c>
      <c r="C1550" s="3" t="s">
        <v>1626</v>
      </c>
      <c r="D1550" s="4" t="str">
        <f>HYPERLINK("https://12go.asia/en/travel/gansu/taian-shandong", "12Go Link")</f>
        <v>12Go Link</v>
      </c>
      <c r="E1550" s="3" t="s">
        <v>94</v>
      </c>
      <c r="K1550" s="5"/>
    </row>
    <row r="1551">
      <c r="A1551" s="3" t="s">
        <v>520</v>
      </c>
      <c r="B1551" s="3" t="s">
        <v>1627</v>
      </c>
      <c r="C1551" s="3" t="s">
        <v>1628</v>
      </c>
      <c r="D1551" s="4" t="str">
        <f>HYPERLINK("https://12go.asia/en/travel/gansu/taizhou-jiangsu", "12Go Link")</f>
        <v>12Go Link</v>
      </c>
      <c r="E1551" s="3" t="s">
        <v>94</v>
      </c>
      <c r="K1551" s="5"/>
    </row>
    <row r="1552">
      <c r="A1552" s="3" t="s">
        <v>520</v>
      </c>
      <c r="B1552" s="3" t="s">
        <v>564</v>
      </c>
      <c r="C1552" s="3" t="s">
        <v>1629</v>
      </c>
      <c r="D1552" s="4" t="str">
        <f>HYPERLINK("https://12go.asia/en/travel/gansu/tianxin", "12Go Link")</f>
        <v>12Go Link</v>
      </c>
      <c r="E1552" s="3" t="s">
        <v>94</v>
      </c>
      <c r="K1552" s="5"/>
    </row>
    <row r="1553">
      <c r="A1553" s="3" t="s">
        <v>520</v>
      </c>
      <c r="B1553" s="3" t="s">
        <v>1630</v>
      </c>
      <c r="C1553" s="3" t="s">
        <v>1631</v>
      </c>
      <c r="D1553" s="4" t="str">
        <f>HYPERLINK("https://12go.asia/en/travel/gansu/wanzhi", "12Go Link")</f>
        <v>12Go Link</v>
      </c>
      <c r="E1553" s="3" t="s">
        <v>94</v>
      </c>
      <c r="K1553" s="5"/>
    </row>
    <row r="1554">
      <c r="A1554" s="3" t="s">
        <v>520</v>
      </c>
      <c r="B1554" s="3" t="s">
        <v>1263</v>
      </c>
      <c r="C1554" s="3" t="s">
        <v>1632</v>
      </c>
      <c r="D1554" s="4" t="str">
        <f>HYPERLINK("https://12go.asia/en/travel/gansu/weihai", "12Go Link")</f>
        <v>12Go Link</v>
      </c>
      <c r="E1554" s="3" t="s">
        <v>94</v>
      </c>
      <c r="K1554" s="5"/>
    </row>
    <row r="1555">
      <c r="A1555" s="3" t="s">
        <v>520</v>
      </c>
      <c r="B1555" s="3" t="s">
        <v>1633</v>
      </c>
      <c r="C1555" s="3" t="s">
        <v>1634</v>
      </c>
      <c r="D1555" s="4" t="str">
        <f>HYPERLINK("https://12go.asia/en/travel/gansu/weinan", "12Go Link")</f>
        <v>12Go Link</v>
      </c>
      <c r="E1555" s="3" t="s">
        <v>94</v>
      </c>
      <c r="K1555" s="5"/>
    </row>
    <row r="1556">
      <c r="A1556" s="3" t="s">
        <v>520</v>
      </c>
      <c r="B1556" s="3" t="s">
        <v>566</v>
      </c>
      <c r="C1556" s="3" t="s">
        <v>1635</v>
      </c>
      <c r="D1556" s="4" t="str">
        <f>HYPERLINK("https://12go.asia/en/travel/gansu/wenjiang", "12Go Link")</f>
        <v>12Go Link</v>
      </c>
      <c r="E1556" s="3" t="s">
        <v>94</v>
      </c>
      <c r="K1556" s="5"/>
    </row>
    <row r="1557">
      <c r="A1557" s="3" t="s">
        <v>520</v>
      </c>
      <c r="B1557" s="3" t="s">
        <v>707</v>
      </c>
      <c r="C1557" s="3" t="s">
        <v>1636</v>
      </c>
      <c r="D1557" s="4" t="str">
        <f>HYPERLINK("https://12go.asia/en/travel/gansu/wuwei-gansu", "12Go Link")</f>
        <v>12Go Link</v>
      </c>
      <c r="E1557" s="3" t="s">
        <v>94</v>
      </c>
      <c r="K1557" s="5"/>
    </row>
    <row r="1558">
      <c r="A1558" s="3" t="s">
        <v>520</v>
      </c>
      <c r="B1558" s="3" t="s">
        <v>798</v>
      </c>
      <c r="C1558" s="3" t="s">
        <v>1637</v>
      </c>
      <c r="D1558" s="4" t="str">
        <f>HYPERLINK("https://12go.asia/en/travel/gansu/wuxi-jiangsu", "12Go Link")</f>
        <v>12Go Link</v>
      </c>
      <c r="E1558" s="3" t="s">
        <v>94</v>
      </c>
      <c r="K1558" s="5"/>
    </row>
    <row r="1559">
      <c r="A1559" s="3" t="s">
        <v>520</v>
      </c>
      <c r="B1559" s="3" t="s">
        <v>1403</v>
      </c>
      <c r="C1559" s="3" t="s">
        <v>1638</v>
      </c>
      <c r="D1559" s="4" t="str">
        <f>HYPERLINK("https://12go.asia/en/travel/gansu/xiamen", "12Go Link")</f>
        <v>12Go Link</v>
      </c>
      <c r="E1559" s="3" t="s">
        <v>94</v>
      </c>
      <c r="K1559" s="5"/>
    </row>
    <row r="1560">
      <c r="A1560" s="3" t="s">
        <v>520</v>
      </c>
      <c r="B1560" s="3" t="s">
        <v>712</v>
      </c>
      <c r="C1560" s="3" t="s">
        <v>1639</v>
      </c>
      <c r="D1560" s="4" t="str">
        <f>HYPERLINK("https://12go.asia/en/travel/gansu/xihu", "12Go Link")</f>
        <v>12Go Link</v>
      </c>
      <c r="E1560" s="3" t="s">
        <v>94</v>
      </c>
      <c r="K1560" s="5"/>
    </row>
    <row r="1561">
      <c r="A1561" s="3" t="s">
        <v>520</v>
      </c>
      <c r="B1561" s="3" t="s">
        <v>1640</v>
      </c>
      <c r="C1561" s="3" t="s">
        <v>1641</v>
      </c>
      <c r="D1561" s="4" t="str">
        <f>HYPERLINK("https://12go.asia/en/travel/gansu/xinxiang", "12Go Link")</f>
        <v>12Go Link</v>
      </c>
      <c r="E1561" s="3" t="s">
        <v>94</v>
      </c>
      <c r="K1561" s="5"/>
    </row>
    <row r="1562">
      <c r="A1562" s="3" t="s">
        <v>520</v>
      </c>
      <c r="B1562" s="3" t="s">
        <v>573</v>
      </c>
      <c r="C1562" s="3" t="s">
        <v>1642</v>
      </c>
      <c r="D1562" s="4" t="str">
        <f>HYPERLINK("https://12go.asia/en/travel/gansu/xinyi", "12Go Link")</f>
        <v>12Go Link</v>
      </c>
      <c r="E1562" s="3" t="s">
        <v>94</v>
      </c>
      <c r="K1562" s="5"/>
    </row>
    <row r="1563">
      <c r="A1563" s="3" t="s">
        <v>520</v>
      </c>
      <c r="B1563" s="3" t="s">
        <v>575</v>
      </c>
      <c r="C1563" s="3" t="s">
        <v>1643</v>
      </c>
      <c r="D1563" s="4" t="str">
        <f>HYPERLINK("https://12go.asia/en/travel/gansu/xishui", "12Go Link")</f>
        <v>12Go Link</v>
      </c>
      <c r="E1563" s="3" t="s">
        <v>94</v>
      </c>
      <c r="K1563" s="5"/>
    </row>
    <row r="1564">
      <c r="A1564" s="3" t="s">
        <v>520</v>
      </c>
      <c r="B1564" s="3" t="s">
        <v>809</v>
      </c>
      <c r="C1564" s="3" t="s">
        <v>1644</v>
      </c>
      <c r="D1564" s="4" t="str">
        <f>HYPERLINK("https://12go.asia/en/travel/gansu/xuchang", "12Go Link")</f>
        <v>12Go Link</v>
      </c>
      <c r="E1564" s="3" t="s">
        <v>94</v>
      </c>
      <c r="K1564" s="5"/>
    </row>
    <row r="1565">
      <c r="A1565" s="3" t="s">
        <v>520</v>
      </c>
      <c r="B1565" s="3" t="s">
        <v>577</v>
      </c>
      <c r="C1565" s="3" t="s">
        <v>1645</v>
      </c>
      <c r="D1565" s="4" t="str">
        <f>HYPERLINK("https://12go.asia/en/travel/gansu/xunxian", "12Go Link")</f>
        <v>12Go Link</v>
      </c>
      <c r="E1565" s="3" t="s">
        <v>94</v>
      </c>
      <c r="K1565" s="5"/>
    </row>
    <row r="1566">
      <c r="A1566" s="3" t="s">
        <v>520</v>
      </c>
      <c r="B1566" s="3" t="s">
        <v>579</v>
      </c>
      <c r="C1566" s="3" t="s">
        <v>1646</v>
      </c>
      <c r="D1566" s="4" t="str">
        <f>HYPERLINK("https://12go.asia/en/travel/gansu/xuzhou", "12Go Link")</f>
        <v>12Go Link</v>
      </c>
      <c r="E1566" s="3" t="s">
        <v>94</v>
      </c>
      <c r="K1566" s="5"/>
    </row>
    <row r="1567">
      <c r="A1567" s="3" t="s">
        <v>520</v>
      </c>
      <c r="B1567" s="3" t="s">
        <v>724</v>
      </c>
      <c r="C1567" s="3" t="s">
        <v>1647</v>
      </c>
      <c r="D1567" s="4" t="str">
        <f>HYPERLINK("https://12go.asia/en/travel/gansu/zhongwei", "12Go Link")</f>
        <v>12Go Link</v>
      </c>
      <c r="E1567" s="3" t="s">
        <v>94</v>
      </c>
      <c r="K1567" s="5"/>
    </row>
    <row r="1568">
      <c r="A1568" s="3" t="s">
        <v>849</v>
      </c>
      <c r="B1568" s="3" t="s">
        <v>740</v>
      </c>
      <c r="C1568" s="3" t="s">
        <v>1648</v>
      </c>
      <c r="D1568" s="4" t="str">
        <f>HYPERLINK("https://12go.asia/en/travel/ganzhou/changchun", "12Go Link")</f>
        <v>12Go Link</v>
      </c>
      <c r="E1568" s="3" t="s">
        <v>94</v>
      </c>
      <c r="K1568" s="5"/>
    </row>
    <row r="1569">
      <c r="A1569" s="3" t="s">
        <v>849</v>
      </c>
      <c r="B1569" s="3" t="s">
        <v>520</v>
      </c>
      <c r="C1569" s="3" t="s">
        <v>1649</v>
      </c>
      <c r="D1569" s="4" t="str">
        <f>HYPERLINK("https://12go.asia/en/travel/ganzhou/gansu", "12Go Link")</f>
        <v>12Go Link</v>
      </c>
      <c r="E1569" s="3" t="s">
        <v>94</v>
      </c>
      <c r="K1569" s="5"/>
    </row>
    <row r="1570">
      <c r="A1570" s="3" t="s">
        <v>849</v>
      </c>
      <c r="B1570" s="3" t="s">
        <v>522</v>
      </c>
      <c r="C1570" s="3" t="s">
        <v>1650</v>
      </c>
      <c r="D1570" s="4" t="str">
        <f>HYPERLINK("https://12go.asia/en/travel/ganzhou/guizhou", "12Go Link")</f>
        <v>12Go Link</v>
      </c>
      <c r="E1570" s="3" t="s">
        <v>94</v>
      </c>
      <c r="K1570" s="5"/>
    </row>
    <row r="1571">
      <c r="A1571" s="3" t="s">
        <v>849</v>
      </c>
      <c r="B1571" s="3" t="s">
        <v>524</v>
      </c>
      <c r="C1571" s="3" t="s">
        <v>1651</v>
      </c>
      <c r="D1571" s="4" t="str">
        <f>HYPERLINK("https://12go.asia/en/travel/ganzhou/guzhang", "12Go Link")</f>
        <v>12Go Link</v>
      </c>
      <c r="E1571" s="3" t="s">
        <v>94</v>
      </c>
      <c r="K1571" s="5"/>
    </row>
    <row r="1572">
      <c r="A1572" s="3" t="s">
        <v>849</v>
      </c>
      <c r="B1572" s="3" t="s">
        <v>532</v>
      </c>
      <c r="C1572" s="3" t="s">
        <v>1652</v>
      </c>
      <c r="D1572" s="4" t="str">
        <f>HYPERLINK("https://12go.asia/en/travel/ganzhou/heilongjiang", "12Go Link")</f>
        <v>12Go Link</v>
      </c>
      <c r="E1572" s="3" t="s">
        <v>94</v>
      </c>
      <c r="K1572" s="5"/>
    </row>
    <row r="1573">
      <c r="A1573" s="3" t="s">
        <v>849</v>
      </c>
      <c r="B1573" s="3" t="s">
        <v>1033</v>
      </c>
      <c r="C1573" s="3" t="s">
        <v>1653</v>
      </c>
      <c r="D1573" s="4" t="str">
        <f>HYPERLINK("https://12go.asia/en/travel/ganzhou/henan", "12Go Link")</f>
        <v>12Go Link</v>
      </c>
      <c r="E1573" s="3" t="s">
        <v>94</v>
      </c>
      <c r="K1573" s="5"/>
    </row>
    <row r="1574">
      <c r="A1574" s="3" t="s">
        <v>849</v>
      </c>
      <c r="B1574" s="3" t="s">
        <v>632</v>
      </c>
      <c r="C1574" s="3" t="s">
        <v>1654</v>
      </c>
      <c r="D1574" s="4" t="str">
        <f>HYPERLINK("https://12go.asia/en/travel/ganzhou/guangzhoubaiyun", "12Go Link")</f>
        <v>12Go Link</v>
      </c>
      <c r="E1574" s="3" t="s">
        <v>94</v>
      </c>
      <c r="K1574" s="5"/>
    </row>
    <row r="1575">
      <c r="A1575" s="3" t="s">
        <v>849</v>
      </c>
      <c r="B1575" s="3" t="s">
        <v>632</v>
      </c>
      <c r="C1575" s="3" t="s">
        <v>1655</v>
      </c>
      <c r="D1575" s="4" t="str">
        <f>HYPERLINK("https://12go.asia/en/travel/ganzhou/huaxi", "12Go Link")</f>
        <v>12Go Link</v>
      </c>
      <c r="E1575" s="3" t="s">
        <v>94</v>
      </c>
      <c r="K1575" s="5"/>
    </row>
    <row r="1576">
      <c r="A1576" s="3" t="s">
        <v>849</v>
      </c>
      <c r="B1576" s="3" t="s">
        <v>639</v>
      </c>
      <c r="C1576" s="3" t="s">
        <v>1656</v>
      </c>
      <c r="D1576" s="4" t="str">
        <f>HYPERLINK("https://12go.asia/en/travel/ganzhou/jiangbei", "12Go Link")</f>
        <v>12Go Link</v>
      </c>
      <c r="E1576" s="3" t="s">
        <v>94</v>
      </c>
      <c r="K1576" s="5"/>
    </row>
    <row r="1577">
      <c r="A1577" s="3" t="s">
        <v>849</v>
      </c>
      <c r="B1577" s="3" t="s">
        <v>641</v>
      </c>
      <c r="C1577" s="3" t="s">
        <v>1657</v>
      </c>
      <c r="D1577" s="4" t="str">
        <f>HYPERLINK("https://12go.asia/en/travel/ganzhou/jiangjin", "12Go Link")</f>
        <v>12Go Link</v>
      </c>
      <c r="E1577" s="3" t="s">
        <v>94</v>
      </c>
      <c r="K1577" s="5"/>
    </row>
    <row r="1578">
      <c r="A1578" s="3" t="s">
        <v>849</v>
      </c>
      <c r="B1578" s="3" t="s">
        <v>643</v>
      </c>
      <c r="C1578" s="3" t="s">
        <v>1658</v>
      </c>
      <c r="D1578" s="4" t="str">
        <f>HYPERLINK("https://12go.asia/en/travel/ganzhou/jiangning", "12Go Link")</f>
        <v>12Go Link</v>
      </c>
      <c r="E1578" s="3" t="s">
        <v>94</v>
      </c>
      <c r="K1578" s="5"/>
    </row>
    <row r="1579">
      <c r="A1579" s="3" t="s">
        <v>849</v>
      </c>
      <c r="B1579" s="3" t="s">
        <v>645</v>
      </c>
      <c r="C1579" s="3" t="s">
        <v>1659</v>
      </c>
      <c r="D1579" s="4" t="str">
        <f>HYPERLINK("https://12go.asia/en/travel/ganzhou/jiangxia", "12Go Link")</f>
        <v>12Go Link</v>
      </c>
      <c r="E1579" s="3" t="s">
        <v>94</v>
      </c>
      <c r="K1579" s="5"/>
    </row>
    <row r="1580">
      <c r="A1580" s="3" t="s">
        <v>849</v>
      </c>
      <c r="B1580" s="3" t="s">
        <v>647</v>
      </c>
      <c r="C1580" s="3" t="s">
        <v>1660</v>
      </c>
      <c r="D1580" s="4" t="str">
        <f>HYPERLINK("https://12go.asia/en/travel/ganzhou/jiangyuan", "12Go Link")</f>
        <v>12Go Link</v>
      </c>
      <c r="E1580" s="3" t="s">
        <v>94</v>
      </c>
      <c r="K1580" s="5"/>
    </row>
    <row r="1581">
      <c r="A1581" s="3" t="s">
        <v>849</v>
      </c>
      <c r="B1581" s="3" t="s">
        <v>540</v>
      </c>
      <c r="C1581" s="3" t="s">
        <v>1661</v>
      </c>
      <c r="D1581" s="4" t="str">
        <f>HYPERLINK("https://12go.asia/en/travel/ganzhou/jiangzhou", "12Go Link")</f>
        <v>12Go Link</v>
      </c>
      <c r="E1581" s="3" t="s">
        <v>94</v>
      </c>
      <c r="K1581" s="5"/>
    </row>
    <row r="1582">
      <c r="A1582" s="3" t="s">
        <v>849</v>
      </c>
      <c r="B1582" s="3" t="s">
        <v>1662</v>
      </c>
      <c r="C1582" s="3" t="s">
        <v>1663</v>
      </c>
      <c r="D1582" s="4" t="str">
        <f>HYPERLINK("https://12go.asia/en/travel/ganzhou/jining", "12Go Link")</f>
        <v>12Go Link</v>
      </c>
      <c r="E1582" s="3" t="s">
        <v>94</v>
      </c>
      <c r="K1582" s="5"/>
    </row>
    <row r="1583">
      <c r="A1583" s="3" t="s">
        <v>849</v>
      </c>
      <c r="B1583" s="3" t="s">
        <v>544</v>
      </c>
      <c r="C1583" s="3" t="s">
        <v>1664</v>
      </c>
      <c r="D1583" s="4" t="str">
        <f>HYPERLINK("https://12go.asia/en/travel/ganzhou/lanzhou", "12Go Link")</f>
        <v>12Go Link</v>
      </c>
      <c r="E1583" s="3" t="s">
        <v>94</v>
      </c>
      <c r="K1583" s="5"/>
    </row>
    <row r="1584">
      <c r="A1584" s="3" t="s">
        <v>849</v>
      </c>
      <c r="B1584" s="3" t="s">
        <v>544</v>
      </c>
      <c r="C1584" s="3" t="s">
        <v>1665</v>
      </c>
      <c r="D1584" s="4" t="str">
        <f>HYPERLINK("https://12go.asia/en/travel/ganzhou/lanzhou-west", "12Go Link")</f>
        <v>12Go Link</v>
      </c>
      <c r="E1584" s="3" t="s">
        <v>94</v>
      </c>
      <c r="K1584" s="5"/>
    </row>
    <row r="1585">
      <c r="A1585" s="3" t="s">
        <v>849</v>
      </c>
      <c r="B1585" s="3" t="s">
        <v>914</v>
      </c>
      <c r="C1585" s="3" t="s">
        <v>1666</v>
      </c>
      <c r="D1585" s="4" t="str">
        <f>HYPERLINK("https://12go.asia/en/travel/ganzhou/pujiangzhen", "12Go Link")</f>
        <v>12Go Link</v>
      </c>
      <c r="E1585" s="3" t="s">
        <v>94</v>
      </c>
      <c r="K1585" s="5"/>
    </row>
    <row r="1586">
      <c r="A1586" s="3" t="s">
        <v>849</v>
      </c>
      <c r="B1586" s="3" t="s">
        <v>1467</v>
      </c>
      <c r="C1586" s="3" t="s">
        <v>1667</v>
      </c>
      <c r="D1586" s="4" t="str">
        <f>HYPERLINK("https://12go.asia/en/travel/ganzhou/qingdao", "12Go Link")</f>
        <v>12Go Link</v>
      </c>
      <c r="E1586" s="3" t="s">
        <v>94</v>
      </c>
      <c r="K1586" s="5"/>
    </row>
    <row r="1587">
      <c r="A1587" s="3" t="s">
        <v>849</v>
      </c>
      <c r="B1587" s="3" t="s">
        <v>1467</v>
      </c>
      <c r="C1587" s="3" t="s">
        <v>1668</v>
      </c>
      <c r="D1587" s="4" t="str">
        <f>HYPERLINK("https://12go.asia/en/travel/ganzhou/qingdao-north", "12Go Link")</f>
        <v>12Go Link</v>
      </c>
      <c r="E1587" s="3" t="s">
        <v>94</v>
      </c>
      <c r="K1587" s="5"/>
    </row>
    <row r="1588">
      <c r="A1588" s="3" t="s">
        <v>849</v>
      </c>
      <c r="B1588" s="3" t="s">
        <v>1220</v>
      </c>
      <c r="C1588" s="3" t="s">
        <v>1669</v>
      </c>
      <c r="D1588" s="4" t="str">
        <f>HYPERLINK("https://12go.asia/en/travel/ganzhou/quanzhou", "12Go Link")</f>
        <v>12Go Link</v>
      </c>
      <c r="E1588" s="3" t="s">
        <v>94</v>
      </c>
      <c r="K1588" s="5"/>
    </row>
    <row r="1589">
      <c r="A1589" s="3" t="s">
        <v>849</v>
      </c>
      <c r="B1589" s="3" t="s">
        <v>552</v>
      </c>
      <c r="C1589" s="3" t="s">
        <v>1670</v>
      </c>
      <c r="D1589" s="4" t="str">
        <f>HYPERLINK("https://12go.asia/en/travel/ganzhou/shaanxi", "12Go Link")</f>
        <v>12Go Link</v>
      </c>
      <c r="E1589" s="3" t="s">
        <v>94</v>
      </c>
      <c r="K1589" s="5"/>
    </row>
    <row r="1590">
      <c r="A1590" s="3" t="s">
        <v>849</v>
      </c>
      <c r="B1590" s="3" t="s">
        <v>554</v>
      </c>
      <c r="C1590" s="3" t="s">
        <v>1671</v>
      </c>
      <c r="D1590" s="4" t="str">
        <f>HYPERLINK("https://12go.asia/en/travel/ganzhou/shenyang", "12Go Link")</f>
        <v>12Go Link</v>
      </c>
      <c r="E1590" s="3" t="s">
        <v>94</v>
      </c>
      <c r="K1590" s="5"/>
    </row>
    <row r="1591">
      <c r="A1591" s="3" t="s">
        <v>849</v>
      </c>
      <c r="B1591" s="3" t="s">
        <v>554</v>
      </c>
      <c r="C1591" s="3" t="s">
        <v>1672</v>
      </c>
      <c r="D1591" s="4" t="str">
        <f>HYPERLINK("https://12go.asia/en/travel/ganzhou/shenyang-north", "12Go Link")</f>
        <v>12Go Link</v>
      </c>
      <c r="E1591" s="3" t="s">
        <v>94</v>
      </c>
      <c r="K1591" s="5"/>
    </row>
    <row r="1592">
      <c r="A1592" s="3" t="s">
        <v>849</v>
      </c>
      <c r="B1592" s="3" t="s">
        <v>698</v>
      </c>
      <c r="C1592" s="3" t="s">
        <v>1673</v>
      </c>
      <c r="D1592" s="4" t="str">
        <f>HYPERLINK("https://12go.asia/en/travel/ganzhou/sihui", "12Go Link")</f>
        <v>12Go Link</v>
      </c>
      <c r="E1592" s="3" t="s">
        <v>94</v>
      </c>
      <c r="K1592" s="5"/>
    </row>
    <row r="1593">
      <c r="A1593" s="3" t="s">
        <v>849</v>
      </c>
      <c r="B1593" s="3" t="s">
        <v>1674</v>
      </c>
      <c r="C1593" s="3" t="s">
        <v>1675</v>
      </c>
      <c r="D1593" s="4" t="str">
        <f>HYPERLINK("https://12go.asia/en/travel/ganzhou/wuhu", "12Go Link")</f>
        <v>12Go Link</v>
      </c>
      <c r="E1593" s="3" t="s">
        <v>94</v>
      </c>
      <c r="K1593" s="5"/>
    </row>
    <row r="1594">
      <c r="A1594" s="3" t="s">
        <v>849</v>
      </c>
      <c r="B1594" s="3" t="s">
        <v>568</v>
      </c>
      <c r="C1594" s="3" t="s">
        <v>1676</v>
      </c>
      <c r="D1594" s="4" t="str">
        <f>HYPERLINK("https://12go.asia/en/travel/ganzhou/xigu", "12Go Link")</f>
        <v>12Go Link</v>
      </c>
      <c r="E1594" s="3" t="s">
        <v>94</v>
      </c>
      <c r="K1594" s="5"/>
    </row>
    <row r="1595">
      <c r="A1595" s="3" t="s">
        <v>849</v>
      </c>
      <c r="B1595" s="3" t="s">
        <v>712</v>
      </c>
      <c r="C1595" s="3" t="s">
        <v>1677</v>
      </c>
      <c r="D1595" s="4" t="str">
        <f>HYPERLINK("https://12go.asia/en/travel/ganzhou/xihu", "12Go Link")</f>
        <v>12Go Link</v>
      </c>
      <c r="E1595" s="3" t="s">
        <v>94</v>
      </c>
      <c r="K1595" s="5"/>
    </row>
    <row r="1596">
      <c r="A1596" s="3" t="s">
        <v>849</v>
      </c>
      <c r="B1596" s="3" t="s">
        <v>575</v>
      </c>
      <c r="C1596" s="3" t="s">
        <v>1678</v>
      </c>
      <c r="D1596" s="4" t="str">
        <f>HYPERLINK("https://12go.asia/en/travel/ganzhou/xishui", "12Go Link")</f>
        <v>12Go Link</v>
      </c>
      <c r="E1596" s="3" t="s">
        <v>94</v>
      </c>
      <c r="K1596" s="5"/>
    </row>
    <row r="1597">
      <c r="A1597" s="3" t="s">
        <v>849</v>
      </c>
      <c r="B1597" s="3" t="s">
        <v>577</v>
      </c>
      <c r="C1597" s="3" t="s">
        <v>1679</v>
      </c>
      <c r="D1597" s="4" t="str">
        <f>HYPERLINK("https://12go.asia/en/travel/ganzhou/xunxian", "12Go Link")</f>
        <v>12Go Link</v>
      </c>
      <c r="E1597" s="3" t="s">
        <v>94</v>
      </c>
      <c r="K1597" s="5"/>
    </row>
    <row r="1598">
      <c r="A1598" s="3" t="s">
        <v>849</v>
      </c>
      <c r="B1598" s="3" t="s">
        <v>1202</v>
      </c>
      <c r="C1598" s="3" t="s">
        <v>1680</v>
      </c>
      <c r="D1598" s="4" t="str">
        <f>HYPERLINK("https://12go.asia/en/travel/ganzhou/yichun-jiangxi", "12Go Link")</f>
        <v>12Go Link</v>
      </c>
      <c r="E1598" s="3" t="s">
        <v>94</v>
      </c>
      <c r="K1598" s="5"/>
    </row>
    <row r="1599">
      <c r="A1599" s="3" t="s">
        <v>849</v>
      </c>
      <c r="B1599" s="3" t="s">
        <v>585</v>
      </c>
      <c r="C1599" s="3" t="s">
        <v>1681</v>
      </c>
      <c r="D1599" s="4" t="str">
        <f>HYPERLINK("https://12go.asia/en/travel/ganzhou/zhengzhou", "12Go Link")</f>
        <v>12Go Link</v>
      </c>
      <c r="E1599" s="3" t="s">
        <v>94</v>
      </c>
      <c r="K1599" s="5"/>
    </row>
    <row r="1600">
      <c r="A1600" s="3" t="s">
        <v>849</v>
      </c>
      <c r="B1600" s="3" t="s">
        <v>727</v>
      </c>
      <c r="C1600" s="3" t="s">
        <v>1682</v>
      </c>
      <c r="D1600" s="4" t="str">
        <f>HYPERLINK("https://12go.asia/en/travel/ganzhou/zhuzhou", "12Go Link")</f>
        <v>12Go Link</v>
      </c>
      <c r="E1600" s="3" t="s">
        <v>94</v>
      </c>
      <c r="K1600" s="5"/>
    </row>
    <row r="1601">
      <c r="A1601" s="3" t="s">
        <v>1364</v>
      </c>
      <c r="B1601" s="3" t="s">
        <v>1366</v>
      </c>
      <c r="C1601" s="3" t="s">
        <v>1683</v>
      </c>
      <c r="D1601" s="4" t="str">
        <f>HYPERLINK("https://12go.asia/en/travel/tangjiawan/guangzhou-south", "12Go Link")</f>
        <v>12Go Link</v>
      </c>
      <c r="E1601" s="3" t="s">
        <v>94</v>
      </c>
      <c r="K1601" s="5"/>
    </row>
    <row r="1602">
      <c r="A1602" s="3" t="s">
        <v>851</v>
      </c>
      <c r="B1602" s="3" t="s">
        <v>587</v>
      </c>
      <c r="C1602" s="3" t="s">
        <v>1684</v>
      </c>
      <c r="D1602" s="4" t="str">
        <f>HYPERLINK("https://12go.asia/en/travel/guangxi/baoding", "12Go Link")</f>
        <v>12Go Link</v>
      </c>
      <c r="E1602" s="3" t="s">
        <v>94</v>
      </c>
      <c r="K1602" s="5"/>
    </row>
    <row r="1603">
      <c r="A1603" s="3" t="s">
        <v>1209</v>
      </c>
      <c r="B1603" s="3" t="s">
        <v>579</v>
      </c>
      <c r="C1603" s="3" t="s">
        <v>1685</v>
      </c>
      <c r="D1603" s="4" t="str">
        <f>HYPERLINK("https://12go.asia/en/travel/guangyuan/xuzhou", "12Go Link")</f>
        <v>12Go Link</v>
      </c>
      <c r="E1603" s="3" t="s">
        <v>94</v>
      </c>
      <c r="K1603" s="5"/>
    </row>
    <row r="1604">
      <c r="A1604" s="3" t="s">
        <v>1209</v>
      </c>
      <c r="B1604" s="3" t="s">
        <v>579</v>
      </c>
      <c r="C1604" s="3" t="s">
        <v>1686</v>
      </c>
      <c r="D1604" s="4" t="str">
        <f>HYPERLINK("https://12go.asia/en/travel/guangyuan/xuzhou-east", "12Go Link")</f>
        <v>12Go Link</v>
      </c>
      <c r="E1604" s="3" t="s">
        <v>94</v>
      </c>
      <c r="K1604" s="5"/>
    </row>
    <row r="1605">
      <c r="A1605" s="3" t="s">
        <v>1366</v>
      </c>
      <c r="B1605" s="3" t="s">
        <v>1687</v>
      </c>
      <c r="C1605" s="3" t="s">
        <v>1688</v>
      </c>
      <c r="D1605" s="4" t="str">
        <f>HYPERLINK("https://12go.asia/en/travel/guangzhou-east/chaonan", "12Go Link")</f>
        <v>12Go Link</v>
      </c>
      <c r="E1605" s="3" t="s">
        <v>94</v>
      </c>
      <c r="K1605" s="5"/>
    </row>
    <row r="1606">
      <c r="A1606" s="3" t="s">
        <v>1366</v>
      </c>
      <c r="B1606" s="3" t="s">
        <v>1687</v>
      </c>
      <c r="C1606" s="3" t="s">
        <v>1689</v>
      </c>
      <c r="D1606" s="4" t="str">
        <f>HYPERLINK("https://12go.asia/en/travel/guangzhou/chaonan", "12Go Link")</f>
        <v>12Go Link</v>
      </c>
      <c r="E1606" s="3" t="s">
        <v>94</v>
      </c>
      <c r="K1606" s="5"/>
    </row>
    <row r="1607">
      <c r="A1607" s="3" t="s">
        <v>1366</v>
      </c>
      <c r="B1607" s="3" t="s">
        <v>1574</v>
      </c>
      <c r="C1607" s="3" t="s">
        <v>1690</v>
      </c>
      <c r="D1607" s="4" t="str">
        <f>HYPERLINK("https://12go.asia/en/travel/guangzhou-south/fenghuanggucheng", "12Go Link")</f>
        <v>12Go Link</v>
      </c>
      <c r="E1607" s="3" t="s">
        <v>94</v>
      </c>
      <c r="K1607" s="5"/>
    </row>
    <row r="1608">
      <c r="A1608" s="3" t="s">
        <v>1366</v>
      </c>
      <c r="B1608" s="3" t="s">
        <v>1574</v>
      </c>
      <c r="C1608" s="3" t="s">
        <v>1691</v>
      </c>
      <c r="D1608" s="4" t="str">
        <f>HYPERLINK("https://12go.asia/en/travel/guangzhou/fenghuang", "12Go Link")</f>
        <v>12Go Link</v>
      </c>
      <c r="E1608" s="3" t="s">
        <v>94</v>
      </c>
      <c r="K1608" s="5"/>
    </row>
    <row r="1609">
      <c r="A1609" s="3" t="s">
        <v>1366</v>
      </c>
      <c r="B1609" s="3" t="s">
        <v>1574</v>
      </c>
      <c r="C1609" s="3" t="s">
        <v>1692</v>
      </c>
      <c r="D1609" s="4" t="str">
        <f>HYPERLINK("https://12go.asia/en/travel/guangzhou/fenghuanggucheng", "12Go Link")</f>
        <v>12Go Link</v>
      </c>
      <c r="E1609" s="3" t="s">
        <v>94</v>
      </c>
      <c r="K1609" s="5"/>
    </row>
    <row r="1610">
      <c r="A1610" s="3" t="s">
        <v>1366</v>
      </c>
      <c r="B1610" s="3" t="s">
        <v>522</v>
      </c>
      <c r="C1610" s="3" t="s">
        <v>1693</v>
      </c>
      <c r="D1610" s="4" t="str">
        <f>HYPERLINK("https://12go.asia/en/travel/guangzhou-south/congjiang", "12Go Link")</f>
        <v>12Go Link</v>
      </c>
      <c r="E1610" s="3" t="s">
        <v>94</v>
      </c>
      <c r="K1610" s="5"/>
    </row>
    <row r="1611">
      <c r="A1611" s="3" t="s">
        <v>1366</v>
      </c>
      <c r="B1611" s="3" t="s">
        <v>620</v>
      </c>
      <c r="C1611" s="3" t="s">
        <v>1694</v>
      </c>
      <c r="D1611" s="4" t="str">
        <f>HYPERLINK("https://12go.asia/en/travel/guangzhou-south/zhuhai-changlong", "12Go Link")</f>
        <v>12Go Link</v>
      </c>
      <c r="E1611" s="3" t="s">
        <v>94</v>
      </c>
      <c r="K1611" s="5"/>
    </row>
    <row r="1612">
      <c r="A1612" s="3" t="s">
        <v>1366</v>
      </c>
      <c r="B1612" s="3" t="s">
        <v>1695</v>
      </c>
      <c r="C1612" s="3" t="s">
        <v>1696</v>
      </c>
      <c r="D1612" s="4" t="str">
        <f>HYPERLINK("https://12go.asia/en/travel/guangzhou-south/jianghai", "12Go Link")</f>
        <v>12Go Link</v>
      </c>
      <c r="E1612" s="3" t="s">
        <v>94</v>
      </c>
      <c r="K1612" s="5"/>
    </row>
    <row r="1613">
      <c r="A1613" s="3" t="s">
        <v>1366</v>
      </c>
      <c r="B1613" s="3" t="s">
        <v>1695</v>
      </c>
      <c r="C1613" s="3" t="s">
        <v>1697</v>
      </c>
      <c r="D1613" s="4" t="str">
        <f>HYPERLINK("https://12go.asia/en/travel/guangzhou/jianghai", "12Go Link")</f>
        <v>12Go Link</v>
      </c>
      <c r="E1613" s="3" t="s">
        <v>94</v>
      </c>
      <c r="K1613" s="5"/>
    </row>
    <row r="1614">
      <c r="A1614" s="3" t="s">
        <v>1366</v>
      </c>
      <c r="B1614" s="3" t="s">
        <v>1220</v>
      </c>
      <c r="C1614" s="3" t="s">
        <v>1698</v>
      </c>
      <c r="D1614" s="4" t="str">
        <f>HYPERLINK("https://12go.asia/en/travel/guangzhou-east/quanzhou-east", "12Go Link")</f>
        <v>12Go Link</v>
      </c>
      <c r="E1614" s="3" t="s">
        <v>94</v>
      </c>
      <c r="K1614" s="5"/>
    </row>
    <row r="1615">
      <c r="A1615" s="3" t="s">
        <v>853</v>
      </c>
      <c r="B1615" s="3" t="s">
        <v>1699</v>
      </c>
      <c r="C1615" s="3" t="s">
        <v>1700</v>
      </c>
      <c r="D1615" s="4" t="str">
        <f>HYPERLINK("https://12go.asia/en/travel/guilin-north/chuxiong", "12Go Link")</f>
        <v>12Go Link</v>
      </c>
      <c r="E1615" s="3" t="s">
        <v>94</v>
      </c>
      <c r="K1615" s="5"/>
    </row>
    <row r="1616">
      <c r="A1616" s="3" t="s">
        <v>853</v>
      </c>
      <c r="B1616" s="3" t="s">
        <v>1699</v>
      </c>
      <c r="C1616" s="3" t="s">
        <v>1701</v>
      </c>
      <c r="D1616" s="4" t="str">
        <f>HYPERLINK("https://12go.asia/en/travel/guilin/chuxiong", "12Go Link")</f>
        <v>12Go Link</v>
      </c>
      <c r="E1616" s="3" t="s">
        <v>94</v>
      </c>
      <c r="K1616" s="5"/>
    </row>
    <row r="1617">
      <c r="A1617" s="3" t="s">
        <v>853</v>
      </c>
      <c r="B1617" s="3" t="s">
        <v>1702</v>
      </c>
      <c r="C1617" s="3" t="s">
        <v>1703</v>
      </c>
      <c r="D1617" s="4" t="str">
        <f>HYPERLINK("https://12go.asia/en/travel/guilin-north/duyun-east", "12Go Link")</f>
        <v>12Go Link</v>
      </c>
      <c r="E1617" s="3" t="s">
        <v>94</v>
      </c>
      <c r="K1617" s="5"/>
    </row>
    <row r="1618">
      <c r="A1618" s="3" t="s">
        <v>853</v>
      </c>
      <c r="B1618" s="3" t="s">
        <v>1702</v>
      </c>
      <c r="C1618" s="3" t="s">
        <v>1704</v>
      </c>
      <c r="D1618" s="4" t="str">
        <f>HYPERLINK("https://12go.asia/en/travel/guilin-west/duyun-east", "12Go Link")</f>
        <v>12Go Link</v>
      </c>
      <c r="E1618" s="3" t="s">
        <v>94</v>
      </c>
      <c r="K1618" s="5"/>
    </row>
    <row r="1619">
      <c r="A1619" s="3" t="s">
        <v>853</v>
      </c>
      <c r="B1619" s="3" t="s">
        <v>1702</v>
      </c>
      <c r="C1619" s="3" t="s">
        <v>1705</v>
      </c>
      <c r="D1619" s="4" t="str">
        <f>HYPERLINK("https://12go.asia/en/travel/guilin/duyun", "12Go Link")</f>
        <v>12Go Link</v>
      </c>
      <c r="E1619" s="3" t="s">
        <v>94</v>
      </c>
      <c r="K1619" s="5"/>
    </row>
    <row r="1620">
      <c r="A1620" s="3" t="s">
        <v>853</v>
      </c>
      <c r="B1620" s="3" t="s">
        <v>942</v>
      </c>
      <c r="C1620" s="3" t="s">
        <v>1706</v>
      </c>
      <c r="D1620" s="4" t="str">
        <f>HYPERLINK("https://12go.asia/en/travel/guilin-north/furongzhen", "12Go Link")</f>
        <v>12Go Link</v>
      </c>
      <c r="E1620" s="3" t="s">
        <v>94</v>
      </c>
      <c r="K1620" s="5"/>
    </row>
    <row r="1621">
      <c r="A1621" s="3" t="s">
        <v>853</v>
      </c>
      <c r="B1621" s="3" t="s">
        <v>942</v>
      </c>
      <c r="C1621" s="3" t="s">
        <v>1707</v>
      </c>
      <c r="D1621" s="4" t="str">
        <f>HYPERLINK("https://12go.asia/en/travel/guilin/furongzhen", "12Go Link")</f>
        <v>12Go Link</v>
      </c>
      <c r="E1621" s="3" t="s">
        <v>94</v>
      </c>
      <c r="K1621" s="5"/>
    </row>
    <row r="1622">
      <c r="A1622" s="3" t="s">
        <v>853</v>
      </c>
      <c r="B1622" s="3" t="s">
        <v>942</v>
      </c>
      <c r="C1622" s="3" t="s">
        <v>1708</v>
      </c>
      <c r="D1622" s="4" t="str">
        <f>HYPERLINK("https://12go.asia/en/travel/guilin/hedong", "12Go Link")</f>
        <v>12Go Link</v>
      </c>
      <c r="E1622" s="3" t="s">
        <v>94</v>
      </c>
      <c r="K1622" s="5"/>
    </row>
    <row r="1623">
      <c r="A1623" s="3" t="s">
        <v>853</v>
      </c>
      <c r="B1623" s="3" t="s">
        <v>636</v>
      </c>
      <c r="C1623" s="3" t="s">
        <v>1709</v>
      </c>
      <c r="D1623" s="4" t="str">
        <f>HYPERLINK("https://12go.asia/en/travel/guilin-north/humen", "12Go Link")</f>
        <v>12Go Link</v>
      </c>
      <c r="E1623" s="3" t="s">
        <v>94</v>
      </c>
      <c r="K1623" s="5"/>
    </row>
    <row r="1624">
      <c r="A1624" s="3" t="s">
        <v>853</v>
      </c>
      <c r="B1624" s="3" t="s">
        <v>636</v>
      </c>
      <c r="C1624" s="3" t="s">
        <v>1710</v>
      </c>
      <c r="D1624" s="4" t="str">
        <f>HYPERLINK("https://12go.asia/en/travel/guilin/humen-town", "12Go Link")</f>
        <v>12Go Link</v>
      </c>
      <c r="E1624" s="3" t="s">
        <v>94</v>
      </c>
      <c r="K1624" s="5"/>
    </row>
    <row r="1625">
      <c r="A1625" s="3" t="s">
        <v>853</v>
      </c>
      <c r="B1625" s="3" t="s">
        <v>1057</v>
      </c>
      <c r="C1625" s="3" t="s">
        <v>1711</v>
      </c>
      <c r="D1625" s="4" t="str">
        <f>HYPERLINK("https://12go.asia/en/travel/guilin-north/shangqiu-south", "12Go Link")</f>
        <v>12Go Link</v>
      </c>
      <c r="E1625" s="3" t="s">
        <v>94</v>
      </c>
      <c r="K1625" s="5"/>
    </row>
    <row r="1626">
      <c r="A1626" s="3" t="s">
        <v>853</v>
      </c>
      <c r="B1626" s="3" t="s">
        <v>1057</v>
      </c>
      <c r="C1626" s="3" t="s">
        <v>1712</v>
      </c>
      <c r="D1626" s="4" t="str">
        <f>HYPERLINK("https://12go.asia/en/travel/guilin/shangqiu", "12Go Link")</f>
        <v>12Go Link</v>
      </c>
      <c r="E1626" s="3" t="s">
        <v>94</v>
      </c>
      <c r="K1626" s="5"/>
    </row>
    <row r="1627">
      <c r="A1627" s="3" t="s">
        <v>1713</v>
      </c>
      <c r="B1627" s="3" t="s">
        <v>515</v>
      </c>
      <c r="C1627" s="3" t="s">
        <v>1714</v>
      </c>
      <c r="D1627" s="4" t="str">
        <f>HYPERLINK("https://12go.asia/en/travel/guiyang-north/anyang-east", "12Go Link")</f>
        <v>12Go Link</v>
      </c>
      <c r="E1627" s="3" t="s">
        <v>94</v>
      </c>
      <c r="K1627" s="5"/>
    </row>
    <row r="1628">
      <c r="A1628" s="3" t="s">
        <v>1713</v>
      </c>
      <c r="B1628" s="3" t="s">
        <v>515</v>
      </c>
      <c r="C1628" s="3" t="s">
        <v>1715</v>
      </c>
      <c r="D1628" s="4" t="str">
        <f>HYPERLINK("https://12go.asia/en/travel/guiyang/anyang", "12Go Link")</f>
        <v>12Go Link</v>
      </c>
      <c r="E1628" s="3" t="s">
        <v>94</v>
      </c>
      <c r="K1628" s="5"/>
    </row>
    <row r="1629">
      <c r="A1629" s="3" t="s">
        <v>1713</v>
      </c>
      <c r="B1629" s="3" t="s">
        <v>1716</v>
      </c>
      <c r="C1629" s="3" t="s">
        <v>1717</v>
      </c>
      <c r="D1629" s="4" t="str">
        <f>HYPERLINK("https://12go.asia/en/travel/guiyang-east/bijie", "12Go Link")</f>
        <v>12Go Link</v>
      </c>
      <c r="E1629" s="3" t="s">
        <v>94</v>
      </c>
      <c r="K1629" s="5"/>
    </row>
    <row r="1630">
      <c r="A1630" s="3" t="s">
        <v>1713</v>
      </c>
      <c r="B1630" s="3" t="s">
        <v>1716</v>
      </c>
      <c r="C1630" s="3" t="s">
        <v>1718</v>
      </c>
      <c r="D1630" s="4" t="str">
        <f>HYPERLINK("https://12go.asia/en/travel/guiyang-north/bijie", "12Go Link")</f>
        <v>12Go Link</v>
      </c>
      <c r="E1630" s="3" t="s">
        <v>94</v>
      </c>
      <c r="K1630" s="5"/>
    </row>
    <row r="1631">
      <c r="A1631" s="3" t="s">
        <v>1713</v>
      </c>
      <c r="B1631" s="3" t="s">
        <v>1716</v>
      </c>
      <c r="C1631" s="3" t="s">
        <v>1719</v>
      </c>
      <c r="D1631" s="4" t="str">
        <f>HYPERLINK("https://12go.asia/en/travel/guiyang/bijie", "12Go Link")</f>
        <v>12Go Link</v>
      </c>
      <c r="E1631" s="3" t="s">
        <v>94</v>
      </c>
      <c r="K1631" s="5"/>
    </row>
    <row r="1632">
      <c r="A1632" s="3" t="s">
        <v>1713</v>
      </c>
      <c r="B1632" s="3" t="s">
        <v>831</v>
      </c>
      <c r="C1632" s="3" t="s">
        <v>1720</v>
      </c>
      <c r="D1632" s="4" t="str">
        <f>HYPERLINK("https://12go.asia/en/travel/guiyang-north/wujin", "12Go Link")</f>
        <v>12Go Link</v>
      </c>
      <c r="E1632" s="3" t="s">
        <v>94</v>
      </c>
      <c r="K1632" s="5"/>
    </row>
    <row r="1633">
      <c r="A1633" s="3" t="s">
        <v>1713</v>
      </c>
      <c r="B1633" s="3" t="s">
        <v>1674</v>
      </c>
      <c r="C1633" s="3" t="s">
        <v>1721</v>
      </c>
      <c r="D1633" s="4" t="str">
        <f>HYPERLINK("https://12go.asia/en/travel/guiyang-north/wuhu", "12Go Link")</f>
        <v>12Go Link</v>
      </c>
      <c r="E1633" s="3" t="s">
        <v>94</v>
      </c>
      <c r="K1633" s="5"/>
    </row>
    <row r="1634">
      <c r="A1634" s="3" t="s">
        <v>1713</v>
      </c>
      <c r="B1634" s="3" t="s">
        <v>1674</v>
      </c>
      <c r="C1634" s="3" t="s">
        <v>1722</v>
      </c>
      <c r="D1634" s="4" t="str">
        <f>HYPERLINK("https://12go.asia/en/travel/guiyang/wuhu", "12Go Link")</f>
        <v>12Go Link</v>
      </c>
      <c r="E1634" s="3" t="s">
        <v>94</v>
      </c>
      <c r="K1634" s="5"/>
    </row>
    <row r="1635">
      <c r="A1635" s="3" t="s">
        <v>1713</v>
      </c>
      <c r="B1635" s="3" t="s">
        <v>1723</v>
      </c>
      <c r="C1635" s="3" t="s">
        <v>1724</v>
      </c>
      <c r="D1635" s="4" t="str">
        <f>HYPERLINK("https://12go.asia/en/travel/guiyang-north/xianning-north", "12Go Link")</f>
        <v>12Go Link</v>
      </c>
      <c r="E1635" s="3" t="s">
        <v>94</v>
      </c>
      <c r="K1635" s="5"/>
    </row>
    <row r="1636">
      <c r="A1636" s="3" t="s">
        <v>1713</v>
      </c>
      <c r="B1636" s="3" t="s">
        <v>1723</v>
      </c>
      <c r="C1636" s="3" t="s">
        <v>1725</v>
      </c>
      <c r="D1636" s="4" t="str">
        <f>HYPERLINK("https://12go.asia/en/travel/guiyang/xianning", "12Go Link")</f>
        <v>12Go Link</v>
      </c>
      <c r="E1636" s="3" t="s">
        <v>94</v>
      </c>
      <c r="K1636" s="5"/>
    </row>
    <row r="1637">
      <c r="A1637" s="3" t="s">
        <v>1713</v>
      </c>
      <c r="B1637" s="3" t="s">
        <v>1726</v>
      </c>
      <c r="C1637" s="3" t="s">
        <v>1727</v>
      </c>
      <c r="D1637" s="4" t="str">
        <f>HYPERLINK("https://12go.asia/en/travel/guiyang-east/zhangzhou", "12Go Link")</f>
        <v>12Go Link</v>
      </c>
      <c r="E1637" s="3" t="s">
        <v>94</v>
      </c>
      <c r="K1637" s="5"/>
    </row>
    <row r="1638">
      <c r="A1638" s="3" t="s">
        <v>1713</v>
      </c>
      <c r="B1638" s="3" t="s">
        <v>1726</v>
      </c>
      <c r="C1638" s="3" t="s">
        <v>1728</v>
      </c>
      <c r="D1638" s="4" t="str">
        <f>HYPERLINK("https://12go.asia/en/travel/guiyang/zhangzhou-fujian", "12Go Link")</f>
        <v>12Go Link</v>
      </c>
      <c r="E1638" s="3" t="s">
        <v>94</v>
      </c>
      <c r="K1638" s="5"/>
    </row>
    <row r="1639">
      <c r="A1639" s="3" t="s">
        <v>1713</v>
      </c>
      <c r="B1639" s="3" t="s">
        <v>1729</v>
      </c>
      <c r="C1639" s="3" t="s">
        <v>1730</v>
      </c>
      <c r="D1639" s="4" t="str">
        <f>HYPERLINK("https://12go.asia/en/travel/guiyang-east/zhanjiang-west", "12Go Link")</f>
        <v>12Go Link</v>
      </c>
      <c r="E1639" s="3" t="s">
        <v>94</v>
      </c>
      <c r="K1639" s="5"/>
    </row>
    <row r="1640">
      <c r="A1640" s="3" t="s">
        <v>522</v>
      </c>
      <c r="B1640" s="3" t="s">
        <v>515</v>
      </c>
      <c r="C1640" s="3" t="s">
        <v>1731</v>
      </c>
      <c r="D1640" s="4" t="str">
        <f>HYPERLINK("https://12go.asia/en/travel/guizhou/anyang", "12Go Link")</f>
        <v>12Go Link</v>
      </c>
      <c r="E1640" s="3" t="s">
        <v>94</v>
      </c>
      <c r="K1640" s="5"/>
    </row>
    <row r="1641">
      <c r="A1641" s="3" t="s">
        <v>522</v>
      </c>
      <c r="B1641" s="3" t="s">
        <v>1716</v>
      </c>
      <c r="C1641" s="3" t="s">
        <v>1732</v>
      </c>
      <c r="D1641" s="4" t="str">
        <f>HYPERLINK("https://12go.asia/en/travel/guizhou/bijie", "12Go Link")</f>
        <v>12Go Link</v>
      </c>
      <c r="E1641" s="3" t="s">
        <v>94</v>
      </c>
      <c r="K1641" s="5"/>
    </row>
    <row r="1642">
      <c r="A1642" s="3" t="s">
        <v>522</v>
      </c>
      <c r="B1642" s="3" t="s">
        <v>1341</v>
      </c>
      <c r="C1642" s="3" t="s">
        <v>1733</v>
      </c>
      <c r="D1642" s="4" t="str">
        <f>HYPERLINK("https://12go.asia/en/travel/zunyi/dali-yunnan", "12Go Link")</f>
        <v>12Go Link</v>
      </c>
      <c r="E1642" s="3" t="s">
        <v>94</v>
      </c>
      <c r="K1642" s="5"/>
    </row>
    <row r="1643">
      <c r="A1643" s="3" t="s">
        <v>522</v>
      </c>
      <c r="B1643" s="3" t="s">
        <v>1674</v>
      </c>
      <c r="C1643" s="3" t="s">
        <v>1734</v>
      </c>
      <c r="D1643" s="4" t="str">
        <f>HYPERLINK("https://12go.asia/en/travel/guizhou/wuhu", "12Go Link")</f>
        <v>12Go Link</v>
      </c>
      <c r="E1643" s="3" t="s">
        <v>94</v>
      </c>
      <c r="K1643" s="5"/>
    </row>
    <row r="1644">
      <c r="A1644" s="3" t="s">
        <v>522</v>
      </c>
      <c r="B1644" s="3" t="s">
        <v>1723</v>
      </c>
      <c r="C1644" s="3" t="s">
        <v>1735</v>
      </c>
      <c r="D1644" s="4" t="str">
        <f>HYPERLINK("https://12go.asia/en/travel/guizhou/xianning", "12Go Link")</f>
        <v>12Go Link</v>
      </c>
      <c r="E1644" s="3" t="s">
        <v>94</v>
      </c>
      <c r="K1644" s="5"/>
    </row>
    <row r="1645">
      <c r="A1645" s="3" t="s">
        <v>522</v>
      </c>
      <c r="B1645" s="3" t="s">
        <v>1726</v>
      </c>
      <c r="C1645" s="3" t="s">
        <v>1736</v>
      </c>
      <c r="D1645" s="4" t="str">
        <f>HYPERLINK("https://12go.asia/en/travel/guizhou/zhangzhou-fujian", "12Go Link")</f>
        <v>12Go Link</v>
      </c>
      <c r="E1645" s="3" t="s">
        <v>94</v>
      </c>
      <c r="K1645" s="5"/>
    </row>
    <row r="1646">
      <c r="A1646" s="3" t="s">
        <v>524</v>
      </c>
      <c r="B1646" s="3" t="s">
        <v>515</v>
      </c>
      <c r="C1646" s="3" t="s">
        <v>1737</v>
      </c>
      <c r="D1646" s="4" t="str">
        <f>HYPERLINK("https://12go.asia/en/travel/guzhang/anyang", "12Go Link")</f>
        <v>12Go Link</v>
      </c>
      <c r="E1646" s="3" t="s">
        <v>94</v>
      </c>
      <c r="K1646" s="5"/>
    </row>
    <row r="1647">
      <c r="A1647" s="3" t="s">
        <v>524</v>
      </c>
      <c r="B1647" s="3" t="s">
        <v>1716</v>
      </c>
      <c r="C1647" s="3" t="s">
        <v>1738</v>
      </c>
      <c r="D1647" s="4" t="str">
        <f>HYPERLINK("https://12go.asia/en/travel/guzhang/bijie", "12Go Link")</f>
        <v>12Go Link</v>
      </c>
      <c r="E1647" s="3" t="s">
        <v>94</v>
      </c>
      <c r="K1647" s="5"/>
    </row>
    <row r="1648">
      <c r="A1648" s="3" t="s">
        <v>524</v>
      </c>
      <c r="B1648" s="3" t="s">
        <v>831</v>
      </c>
      <c r="C1648" s="3" t="s">
        <v>1739</v>
      </c>
      <c r="D1648" s="4" t="str">
        <f>HYPERLINK("https://12go.asia/en/travel/guzhang/changzhou", "12Go Link")</f>
        <v>12Go Link</v>
      </c>
      <c r="E1648" s="3" t="s">
        <v>94</v>
      </c>
      <c r="K1648" s="5"/>
    </row>
    <row r="1649">
      <c r="A1649" s="3" t="s">
        <v>524</v>
      </c>
      <c r="B1649" s="3" t="s">
        <v>1713</v>
      </c>
      <c r="C1649" s="3" t="s">
        <v>1740</v>
      </c>
      <c r="D1649" s="4" t="str">
        <f>HYPERLINK("https://12go.asia/en/travel/guzhang/guiyang", "12Go Link")</f>
        <v>12Go Link</v>
      </c>
      <c r="E1649" s="3" t="s">
        <v>94</v>
      </c>
      <c r="K1649" s="5"/>
    </row>
    <row r="1650">
      <c r="A1650" s="3" t="s">
        <v>524</v>
      </c>
      <c r="B1650" s="3" t="s">
        <v>588</v>
      </c>
      <c r="C1650" s="3" t="s">
        <v>1741</v>
      </c>
      <c r="D1650" s="4" t="str">
        <f>HYPERLINK("https://12go.asia/en/travel/guzhang/kaifeng", "12Go Link")</f>
        <v>12Go Link</v>
      </c>
      <c r="E1650" s="3" t="s">
        <v>94</v>
      </c>
      <c r="K1650" s="5"/>
    </row>
    <row r="1651">
      <c r="A1651" s="3" t="s">
        <v>524</v>
      </c>
      <c r="B1651" s="3" t="s">
        <v>1386</v>
      </c>
      <c r="C1651" s="3" t="s">
        <v>1742</v>
      </c>
      <c r="D1651" s="4" t="str">
        <f>HYPERLINK("https://12go.asia/en/travel/guzhang/luoyang", "12Go Link")</f>
        <v>12Go Link</v>
      </c>
      <c r="E1651" s="3" t="s">
        <v>94</v>
      </c>
      <c r="K1651" s="5"/>
    </row>
    <row r="1652">
      <c r="A1652" s="3" t="s">
        <v>524</v>
      </c>
      <c r="B1652" s="3" t="s">
        <v>1674</v>
      </c>
      <c r="C1652" s="3" t="s">
        <v>1743</v>
      </c>
      <c r="D1652" s="4" t="str">
        <f>HYPERLINK("https://12go.asia/en/travel/guzhang/wuhu", "12Go Link")</f>
        <v>12Go Link</v>
      </c>
      <c r="E1652" s="3" t="s">
        <v>94</v>
      </c>
      <c r="K1652" s="5"/>
    </row>
    <row r="1653">
      <c r="A1653" s="3" t="s">
        <v>524</v>
      </c>
      <c r="B1653" s="3" t="s">
        <v>1723</v>
      </c>
      <c r="C1653" s="3" t="s">
        <v>1744</v>
      </c>
      <c r="D1653" s="4" t="str">
        <f>HYPERLINK("https://12go.asia/en/travel/guzhang/xianning", "12Go Link")</f>
        <v>12Go Link</v>
      </c>
      <c r="E1653" s="3" t="s">
        <v>94</v>
      </c>
      <c r="K1653" s="5"/>
    </row>
    <row r="1654">
      <c r="A1654" s="3" t="s">
        <v>524</v>
      </c>
      <c r="B1654" s="3" t="s">
        <v>1729</v>
      </c>
      <c r="C1654" s="3" t="s">
        <v>1745</v>
      </c>
      <c r="D1654" s="4" t="str">
        <f>HYPERLINK("https://12go.asia/en/travel/guzhang/zhanjiang", "12Go Link")</f>
        <v>12Go Link</v>
      </c>
      <c r="E1654" s="3" t="s">
        <v>94</v>
      </c>
      <c r="K1654" s="5"/>
    </row>
    <row r="1655">
      <c r="A1655" s="3" t="s">
        <v>1746</v>
      </c>
      <c r="B1655" s="3" t="s">
        <v>1746</v>
      </c>
      <c r="C1655" s="3" t="s">
        <v>1747</v>
      </c>
      <c r="D1655" s="4" t="str">
        <f>HYPERLINK("https://12go.asia/en/travel/haikou/changliu", "12Go Link")</f>
        <v>12Go Link</v>
      </c>
      <c r="E1655" s="3" t="s">
        <v>94</v>
      </c>
      <c r="K1655" s="5"/>
    </row>
    <row r="1656">
      <c r="A1656" s="3" t="s">
        <v>855</v>
      </c>
      <c r="B1656" s="3" t="s">
        <v>1746</v>
      </c>
      <c r="C1656" s="3" t="s">
        <v>1748</v>
      </c>
      <c r="D1656" s="4" t="str">
        <f>HYPERLINK("https://12go.asia/en/travel/chengxi-hainan/changliu", "12Go Link")</f>
        <v>12Go Link</v>
      </c>
      <c r="E1656" s="3" t="s">
        <v>94</v>
      </c>
      <c r="K1656" s="5"/>
    </row>
    <row r="1657">
      <c r="A1657" s="3" t="s">
        <v>1749</v>
      </c>
      <c r="B1657" s="3" t="s">
        <v>751</v>
      </c>
      <c r="C1657" s="3" t="s">
        <v>1750</v>
      </c>
      <c r="D1657" s="4" t="str">
        <f>HYPERLINK("https://12go.asia/en/travel/hami/handan", "12Go Link")</f>
        <v>12Go Link</v>
      </c>
      <c r="E1657" s="3" t="s">
        <v>94</v>
      </c>
      <c r="K1657" s="5"/>
    </row>
    <row r="1658">
      <c r="A1658" s="3" t="s">
        <v>751</v>
      </c>
      <c r="B1658" s="3" t="s">
        <v>874</v>
      </c>
      <c r="C1658" s="3" t="s">
        <v>1751</v>
      </c>
      <c r="D1658" s="4" t="str">
        <f>HYPERLINK("https://12go.asia/en/travel/handan-east/nanchang-west", "12Go Link")</f>
        <v>12Go Link</v>
      </c>
      <c r="E1658" s="3" t="s">
        <v>94</v>
      </c>
      <c r="K1658" s="5"/>
    </row>
    <row r="1659">
      <c r="A1659" s="3" t="s">
        <v>755</v>
      </c>
      <c r="B1659" s="3" t="s">
        <v>1752</v>
      </c>
      <c r="C1659" s="3" t="s">
        <v>1753</v>
      </c>
      <c r="D1659" s="4" t="str">
        <f>HYPERLINK("https://12go.asia/en/travel/hangzhou-east/changzhi-south", "12Go Link")</f>
        <v>12Go Link</v>
      </c>
      <c r="E1659" s="3" t="s">
        <v>94</v>
      </c>
      <c r="K1659" s="5"/>
    </row>
    <row r="1660">
      <c r="A1660" s="3" t="s">
        <v>755</v>
      </c>
      <c r="B1660" s="3" t="s">
        <v>1752</v>
      </c>
      <c r="C1660" s="3" t="s">
        <v>1754</v>
      </c>
      <c r="D1660" s="4" t="str">
        <f>HYPERLINK("https://12go.asia/en/travel/hangzhou-south/changzhi-south", "12Go Link")</f>
        <v>12Go Link</v>
      </c>
      <c r="E1660" s="3" t="s">
        <v>94</v>
      </c>
      <c r="K1660" s="5"/>
    </row>
    <row r="1661">
      <c r="A1661" s="3" t="s">
        <v>755</v>
      </c>
      <c r="B1661" s="3" t="s">
        <v>1752</v>
      </c>
      <c r="C1661" s="3" t="s">
        <v>1755</v>
      </c>
      <c r="D1661" s="4" t="str">
        <f>HYPERLINK("https://12go.asia/en/travel/hangzhou/changzhi", "12Go Link")</f>
        <v>12Go Link</v>
      </c>
      <c r="E1661" s="3" t="s">
        <v>94</v>
      </c>
      <c r="K1661" s="5"/>
    </row>
    <row r="1662">
      <c r="A1662" s="3" t="s">
        <v>755</v>
      </c>
      <c r="B1662" s="3" t="s">
        <v>536</v>
      </c>
      <c r="C1662" s="3" t="s">
        <v>1756</v>
      </c>
      <c r="D1662" s="4" t="str">
        <f>HYPERLINK("https://12go.asia/en/travel/hangzhou-east/liling-east", "12Go Link")</f>
        <v>12Go Link</v>
      </c>
      <c r="E1662" s="3" t="s">
        <v>94</v>
      </c>
      <c r="K1662" s="5"/>
    </row>
    <row r="1663">
      <c r="A1663" s="3" t="s">
        <v>755</v>
      </c>
      <c r="B1663" s="3" t="s">
        <v>1757</v>
      </c>
      <c r="C1663" s="3" t="s">
        <v>1758</v>
      </c>
      <c r="D1663" s="4" t="str">
        <f>HYPERLINK("https://12go.asia/en/travel/hangzhou-east/suqian", "12Go Link")</f>
        <v>12Go Link</v>
      </c>
      <c r="E1663" s="3" t="s">
        <v>94</v>
      </c>
      <c r="K1663" s="5"/>
    </row>
    <row r="1664">
      <c r="A1664" s="3" t="s">
        <v>755</v>
      </c>
      <c r="B1664" s="3" t="s">
        <v>1757</v>
      </c>
      <c r="C1664" s="3" t="s">
        <v>1759</v>
      </c>
      <c r="D1664" s="4" t="str">
        <f>HYPERLINK("https://12go.asia/en/travel/hangzhou/suqian", "12Go Link")</f>
        <v>12Go Link</v>
      </c>
      <c r="E1664" s="3" t="s">
        <v>94</v>
      </c>
      <c r="K1664" s="5"/>
    </row>
    <row r="1665">
      <c r="A1665" s="3" t="s">
        <v>1133</v>
      </c>
      <c r="B1665" s="3" t="s">
        <v>1467</v>
      </c>
      <c r="C1665" s="3" t="s">
        <v>1760</v>
      </c>
      <c r="D1665" s="4" t="str">
        <f>HYPERLINK("https://12go.asia/en/travel/hanzhong/qingdao", "12Go Link")</f>
        <v>12Go Link</v>
      </c>
      <c r="E1665" s="3" t="s">
        <v>94</v>
      </c>
      <c r="K1665" s="5"/>
    </row>
    <row r="1666">
      <c r="A1666" s="3" t="s">
        <v>526</v>
      </c>
      <c r="B1666" s="3" t="s">
        <v>1761</v>
      </c>
      <c r="C1666" s="3" t="s">
        <v>1762</v>
      </c>
      <c r="D1666" s="4" t="str">
        <f>HYPERLINK("https://12go.asia/en/travel/harbin-west/jinpu", "12Go Link")</f>
        <v>12Go Link</v>
      </c>
      <c r="E1666" s="3" t="s">
        <v>94</v>
      </c>
      <c r="K1666" s="5"/>
    </row>
    <row r="1667">
      <c r="A1667" s="3" t="s">
        <v>526</v>
      </c>
      <c r="B1667" s="3" t="s">
        <v>1763</v>
      </c>
      <c r="C1667" s="3" t="s">
        <v>1764</v>
      </c>
      <c r="D1667" s="4" t="str">
        <f>HYPERLINK("https://12go.asia/en/travel/harbin/mishan", "12Go Link")</f>
        <v>12Go Link</v>
      </c>
      <c r="E1667" s="3" t="s">
        <v>94</v>
      </c>
      <c r="K1667" s="5"/>
    </row>
    <row r="1668">
      <c r="A1668" s="3" t="s">
        <v>526</v>
      </c>
      <c r="B1668" s="3" t="s">
        <v>1765</v>
      </c>
      <c r="C1668" s="3" t="s">
        <v>1766</v>
      </c>
      <c r="D1668" s="4" t="str">
        <f>HYPERLINK("https://12go.asia/en/travel/harbin-west/suifenhe", "12Go Link")</f>
        <v>12Go Link</v>
      </c>
      <c r="E1668" s="3" t="s">
        <v>94</v>
      </c>
      <c r="K1668" s="5"/>
    </row>
    <row r="1669">
      <c r="A1669" s="3" t="s">
        <v>526</v>
      </c>
      <c r="B1669" s="3" t="s">
        <v>893</v>
      </c>
      <c r="C1669" s="3" t="s">
        <v>1767</v>
      </c>
      <c r="D1669" s="4" t="str">
        <f>HYPERLINK("https://12go.asia/en/travel/harbin-west/hengdaohezi-east", "12Go Link")</f>
        <v>12Go Link</v>
      </c>
      <c r="E1669" s="3" t="s">
        <v>94</v>
      </c>
      <c r="K1669" s="5"/>
    </row>
    <row r="1670">
      <c r="A1670" s="3" t="s">
        <v>526</v>
      </c>
      <c r="B1670" s="3" t="s">
        <v>893</v>
      </c>
      <c r="C1670" s="3" t="s">
        <v>1768</v>
      </c>
      <c r="D1670" s="4" t="str">
        <f>HYPERLINK("https://12go.asia/en/travel/harbin/hengdaohezi-east", "12Go Link")</f>
        <v>12Go Link</v>
      </c>
      <c r="E1670" s="3" t="s">
        <v>94</v>
      </c>
      <c r="K1670" s="5"/>
    </row>
    <row r="1671">
      <c r="A1671" s="3" t="s">
        <v>530</v>
      </c>
      <c r="B1671" s="3" t="s">
        <v>732</v>
      </c>
      <c r="C1671" s="3" t="s">
        <v>1769</v>
      </c>
      <c r="D1671" s="4" t="str">
        <f>HYPERLINK("https://12go.asia/en/travel/xingtai-east/tangshan", "12Go Link")</f>
        <v>12Go Link</v>
      </c>
      <c r="E1671" s="3" t="s">
        <v>94</v>
      </c>
      <c r="K1671" s="5"/>
    </row>
    <row r="1672">
      <c r="A1672" s="3" t="s">
        <v>1081</v>
      </c>
      <c r="B1672" s="3" t="s">
        <v>846</v>
      </c>
      <c r="C1672" s="3" t="s">
        <v>1770</v>
      </c>
      <c r="D1672" s="4" t="str">
        <f>HYPERLINK("https://12go.asia/en/travel/hefei-south/dezhou-east", "12Go Link")</f>
        <v>12Go Link</v>
      </c>
      <c r="E1672" s="3" t="s">
        <v>94</v>
      </c>
      <c r="K1672" s="5"/>
    </row>
    <row r="1673">
      <c r="A1673" s="3" t="s">
        <v>1081</v>
      </c>
      <c r="B1673" s="3" t="s">
        <v>846</v>
      </c>
      <c r="C1673" s="3" t="s">
        <v>1771</v>
      </c>
      <c r="D1673" s="4" t="str">
        <f>HYPERLINK("https://12go.asia/en/travel/hefei/dezhou", "12Go Link")</f>
        <v>12Go Link</v>
      </c>
      <c r="E1673" s="3" t="s">
        <v>94</v>
      </c>
      <c r="K1673" s="5"/>
    </row>
    <row r="1674">
      <c r="A1674" s="3" t="s">
        <v>1081</v>
      </c>
      <c r="B1674" s="3" t="s">
        <v>846</v>
      </c>
      <c r="C1674" s="3" t="s">
        <v>1772</v>
      </c>
      <c r="D1674" s="4" t="str">
        <f>HYPERLINK("https://12go.asia/en/travel/hefei/dezhou-east", "12Go Link")</f>
        <v>12Go Link</v>
      </c>
      <c r="E1674" s="3" t="s">
        <v>94</v>
      </c>
      <c r="K1674" s="5"/>
    </row>
    <row r="1675">
      <c r="A1675" s="3" t="s">
        <v>1081</v>
      </c>
      <c r="B1675" s="3" t="s">
        <v>1291</v>
      </c>
      <c r="C1675" s="3" t="s">
        <v>1773</v>
      </c>
      <c r="D1675" s="4" t="str">
        <f>HYPERLINK("https://12go.asia/en/travel/hefei/jian-jiangxi", "12Go Link")</f>
        <v>12Go Link</v>
      </c>
      <c r="E1675" s="3" t="s">
        <v>94</v>
      </c>
      <c r="K1675" s="5"/>
    </row>
    <row r="1676">
      <c r="A1676" s="3" t="s">
        <v>1081</v>
      </c>
      <c r="B1676" s="3" t="s">
        <v>579</v>
      </c>
      <c r="C1676" s="3" t="s">
        <v>1774</v>
      </c>
      <c r="D1676" s="4" t="str">
        <f>HYPERLINK("https://12go.asia/en/travel/hefei/zaozhuang-east", "12Go Link")</f>
        <v>12Go Link</v>
      </c>
      <c r="E1676" s="3" t="s">
        <v>94</v>
      </c>
      <c r="K1676" s="5"/>
    </row>
    <row r="1677">
      <c r="A1677" s="3" t="s">
        <v>532</v>
      </c>
      <c r="B1677" s="3" t="s">
        <v>1763</v>
      </c>
      <c r="C1677" s="3" t="s">
        <v>1775</v>
      </c>
      <c r="D1677" s="4" t="str">
        <f>HYPERLINK("https://12go.asia/en/travel/heilongjiang/mishan", "12Go Link")</f>
        <v>12Go Link</v>
      </c>
      <c r="E1677" s="3" t="s">
        <v>94</v>
      </c>
      <c r="K1677" s="5"/>
    </row>
    <row r="1678">
      <c r="A1678" s="3" t="s">
        <v>532</v>
      </c>
      <c r="B1678" s="3" t="s">
        <v>878</v>
      </c>
      <c r="C1678" s="3" t="s">
        <v>1776</v>
      </c>
      <c r="D1678" s="4" t="str">
        <f>HYPERLINK("https://12go.asia/en/travel/heilongjiang/shijiazhuang", "12Go Link")</f>
        <v>12Go Link</v>
      </c>
      <c r="E1678" s="3" t="s">
        <v>94</v>
      </c>
      <c r="K1678" s="5"/>
    </row>
    <row r="1679">
      <c r="A1679" s="3" t="s">
        <v>1033</v>
      </c>
      <c r="B1679" s="3" t="s">
        <v>530</v>
      </c>
      <c r="C1679" s="3" t="s">
        <v>1777</v>
      </c>
      <c r="D1679" s="4" t="str">
        <f>HYPERLINK("https://12go.asia/en/travel/hebi-east/xingtai-east", "12Go Link")</f>
        <v>12Go Link</v>
      </c>
      <c r="E1679" s="3" t="s">
        <v>94</v>
      </c>
      <c r="K1679" s="5"/>
    </row>
    <row r="1680">
      <c r="A1680" s="3" t="s">
        <v>1033</v>
      </c>
      <c r="B1680" s="3" t="s">
        <v>512</v>
      </c>
      <c r="C1680" s="3" t="s">
        <v>1778</v>
      </c>
      <c r="D1680" s="4" t="str">
        <f>HYPERLINK("https://12go.asia/en/travel/jiaozuo/shanghai-hongqiao", "12Go Link")</f>
        <v>12Go Link</v>
      </c>
      <c r="E1680" s="3" t="s">
        <v>94</v>
      </c>
      <c r="K1680" s="5"/>
    </row>
    <row r="1681">
      <c r="A1681" s="3" t="s">
        <v>1033</v>
      </c>
      <c r="B1681" s="3" t="s">
        <v>806</v>
      </c>
      <c r="C1681" s="3" t="s">
        <v>1779</v>
      </c>
      <c r="D1681" s="4" t="str">
        <f>HYPERLINK("https://12go.asia/en/travel/henan/xinyang", "12Go Link")</f>
        <v>12Go Link</v>
      </c>
      <c r="E1681" s="3" t="s">
        <v>94</v>
      </c>
      <c r="K1681" s="5"/>
    </row>
    <row r="1682">
      <c r="A1682" s="3" t="s">
        <v>1033</v>
      </c>
      <c r="B1682" s="3" t="s">
        <v>806</v>
      </c>
      <c r="C1682" s="3" t="s">
        <v>1780</v>
      </c>
      <c r="D1682" s="4" t="str">
        <f>HYPERLINK("https://12go.asia/en/travel/jiaozuo/xinyang-east", "12Go Link")</f>
        <v>12Go Link</v>
      </c>
      <c r="E1682" s="3" t="s">
        <v>94</v>
      </c>
      <c r="K1682" s="5"/>
    </row>
    <row r="1683">
      <c r="A1683" s="3" t="s">
        <v>1236</v>
      </c>
      <c r="B1683" s="3" t="s">
        <v>1386</v>
      </c>
      <c r="C1683" s="3" t="s">
        <v>1781</v>
      </c>
      <c r="D1683" s="4" t="str">
        <f>HYPERLINK("https://12go.asia/en/travel/hengshui/luoyang", "12Go Link")</f>
        <v>12Go Link</v>
      </c>
      <c r="E1683" s="3" t="s">
        <v>94</v>
      </c>
      <c r="K1683" s="5"/>
    </row>
    <row r="1684">
      <c r="A1684" s="3" t="s">
        <v>1236</v>
      </c>
      <c r="B1684" s="3" t="s">
        <v>1168</v>
      </c>
      <c r="C1684" s="3" t="s">
        <v>1782</v>
      </c>
      <c r="D1684" s="4" t="str">
        <f>HYPERLINK("https://12go.asia/en/travel/hengshui/qinhuangdao", "12Go Link")</f>
        <v>12Go Link</v>
      </c>
      <c r="E1684" s="3" t="s">
        <v>94</v>
      </c>
      <c r="K1684" s="5"/>
    </row>
    <row r="1685">
      <c r="A1685" s="3" t="s">
        <v>1236</v>
      </c>
      <c r="B1685" s="3" t="s">
        <v>809</v>
      </c>
      <c r="C1685" s="3" t="s">
        <v>1783</v>
      </c>
      <c r="D1685" s="4" t="str">
        <f>HYPERLINK("https://12go.asia/en/travel/hengshui-north/xuchang-east", "12Go Link")</f>
        <v>12Go Link</v>
      </c>
      <c r="E1685" s="3" t="s">
        <v>94</v>
      </c>
      <c r="K1685" s="5"/>
    </row>
    <row r="1686">
      <c r="A1686" s="3" t="s">
        <v>1236</v>
      </c>
      <c r="B1686" s="3" t="s">
        <v>809</v>
      </c>
      <c r="C1686" s="3" t="s">
        <v>1784</v>
      </c>
      <c r="D1686" s="4" t="str">
        <f>HYPERLINK("https://12go.asia/en/travel/hengshui/xuchang", "12Go Link")</f>
        <v>12Go Link</v>
      </c>
      <c r="E1686" s="3" t="s">
        <v>94</v>
      </c>
      <c r="K1686" s="5"/>
    </row>
    <row r="1687">
      <c r="A1687" s="3" t="s">
        <v>1369</v>
      </c>
      <c r="B1687" s="3" t="s">
        <v>755</v>
      </c>
      <c r="C1687" s="3" t="s">
        <v>1785</v>
      </c>
      <c r="D1687" s="4" t="str">
        <f>HYPERLINK("https://12go.asia/en/travel/hengyang-east/hangzhou-west", "12Go Link")</f>
        <v>12Go Link</v>
      </c>
      <c r="E1687" s="3" t="s">
        <v>94</v>
      </c>
      <c r="K1687" s="5"/>
    </row>
    <row r="1688">
      <c r="A1688" s="3" t="s">
        <v>758</v>
      </c>
      <c r="B1688" s="3" t="s">
        <v>841</v>
      </c>
      <c r="C1688" s="3" t="s">
        <v>1786</v>
      </c>
      <c r="D1688" s="4" t="str">
        <f>HYPERLINK("https://12go.asia/en/travel/heze-east-railway-station/chengdu-east", "12Go Link")</f>
        <v>12Go Link</v>
      </c>
      <c r="E1688" s="3" t="s">
        <v>94</v>
      </c>
      <c r="K1688" s="5"/>
    </row>
    <row r="1689">
      <c r="A1689" s="3" t="s">
        <v>758</v>
      </c>
      <c r="B1689" s="3" t="s">
        <v>841</v>
      </c>
      <c r="C1689" s="3" t="s">
        <v>1787</v>
      </c>
      <c r="D1689" s="4" t="str">
        <f>HYPERLINK("https://12go.asia/en/travel/heze/chengdu", "12Go Link")</f>
        <v>12Go Link</v>
      </c>
      <c r="E1689" s="3" t="s">
        <v>94</v>
      </c>
      <c r="K1689" s="5"/>
    </row>
    <row r="1690">
      <c r="A1690" s="3" t="s">
        <v>758</v>
      </c>
      <c r="B1690" s="3" t="s">
        <v>1589</v>
      </c>
      <c r="C1690" s="3" t="s">
        <v>1788</v>
      </c>
      <c r="D1690" s="4" t="str">
        <f>HYPERLINK("https://12go.asia/en/travel/heze/datong", "12Go Link")</f>
        <v>12Go Link</v>
      </c>
      <c r="E1690" s="3" t="s">
        <v>94</v>
      </c>
      <c r="K1690" s="5"/>
    </row>
    <row r="1691">
      <c r="A1691" s="3" t="s">
        <v>758</v>
      </c>
      <c r="B1691" s="3" t="s">
        <v>611</v>
      </c>
      <c r="C1691" s="3" t="s">
        <v>1789</v>
      </c>
      <c r="D1691" s="4" t="str">
        <f>HYPERLINK("https://12go.asia/en/travel/caoxian/dongguan-east", "12Go Link")</f>
        <v>12Go Link</v>
      </c>
      <c r="E1691" s="3" t="s">
        <v>94</v>
      </c>
      <c r="K1691" s="5"/>
    </row>
    <row r="1692">
      <c r="A1692" s="3" t="s">
        <v>758</v>
      </c>
      <c r="B1692" s="3" t="s">
        <v>1790</v>
      </c>
      <c r="C1692" s="3" t="s">
        <v>1791</v>
      </c>
      <c r="D1692" s="4" t="str">
        <f>HYPERLINK("https://12go.asia/en/travel/heze/shiyan", "12Go Link")</f>
        <v>12Go Link</v>
      </c>
      <c r="E1692" s="3" t="s">
        <v>94</v>
      </c>
      <c r="K1692" s="5"/>
    </row>
    <row r="1693">
      <c r="A1693" s="3" t="s">
        <v>758</v>
      </c>
      <c r="B1693" s="3" t="s">
        <v>790</v>
      </c>
      <c r="C1693" s="3" t="s">
        <v>1792</v>
      </c>
      <c r="D1693" s="4" t="str">
        <f>HYPERLINK("https://12go.asia/en/travel/heze-east-railway-station/weifang-north", "12Go Link")</f>
        <v>12Go Link</v>
      </c>
      <c r="E1693" s="3" t="s">
        <v>94</v>
      </c>
      <c r="K1693" s="5"/>
    </row>
    <row r="1694">
      <c r="A1694" s="3" t="s">
        <v>1793</v>
      </c>
      <c r="B1694" s="3" t="s">
        <v>1794</v>
      </c>
      <c r="C1694" s="3" t="s">
        <v>1795</v>
      </c>
      <c r="D1694" s="4" t="str">
        <f>HYPERLINK("https://12go.asia/en/travel/hezhou/baise", "12Go Link")</f>
        <v>12Go Link</v>
      </c>
      <c r="E1694" s="3" t="s">
        <v>94</v>
      </c>
      <c r="K1694" s="5"/>
    </row>
    <row r="1695">
      <c r="A1695" s="3" t="s">
        <v>860</v>
      </c>
      <c r="B1695" s="3" t="s">
        <v>526</v>
      </c>
      <c r="C1695" s="3" t="s">
        <v>1796</v>
      </c>
      <c r="D1695" s="4" t="str">
        <f>HYPERLINK("https://12go.asia/en/travel/hohhot-east/harbin-west", "12Go Link")</f>
        <v>12Go Link</v>
      </c>
      <c r="E1695" s="3" t="s">
        <v>94</v>
      </c>
      <c r="K1695" s="5"/>
    </row>
    <row r="1696">
      <c r="A1696" s="3" t="s">
        <v>860</v>
      </c>
      <c r="B1696" s="3" t="s">
        <v>526</v>
      </c>
      <c r="C1696" s="3" t="s">
        <v>1797</v>
      </c>
      <c r="D1696" s="4" t="str">
        <f>HYPERLINK("https://12go.asia/en/travel/hohhot/harbin-west", "12Go Link")</f>
        <v>12Go Link</v>
      </c>
      <c r="E1696" s="3" t="s">
        <v>94</v>
      </c>
      <c r="K1696" s="5"/>
    </row>
    <row r="1697">
      <c r="A1697" s="3" t="s">
        <v>860</v>
      </c>
      <c r="B1697" s="3" t="s">
        <v>526</v>
      </c>
      <c r="C1697" s="3" t="s">
        <v>1798</v>
      </c>
      <c r="D1697" s="4" t="str">
        <f>HYPERLINK("https://12go.asia/en/travel/hohhot/harbin", "12Go Link")</f>
        <v>12Go Link</v>
      </c>
      <c r="E1697" s="3" t="s">
        <v>94</v>
      </c>
      <c r="K1697" s="5"/>
    </row>
    <row r="1698">
      <c r="A1698" s="3" t="s">
        <v>860</v>
      </c>
      <c r="B1698" s="3" t="s">
        <v>1799</v>
      </c>
      <c r="C1698" s="3" t="s">
        <v>1800</v>
      </c>
      <c r="D1698" s="4" t="str">
        <f>HYPERLINK("https://12go.asia/en/travel/hohhot-east/yinchuan", "12Go Link")</f>
        <v>12Go Link</v>
      </c>
      <c r="E1698" s="3" t="s">
        <v>94</v>
      </c>
      <c r="K1698" s="5"/>
    </row>
    <row r="1699">
      <c r="A1699" s="3" t="s">
        <v>860</v>
      </c>
      <c r="B1699" s="3" t="s">
        <v>1799</v>
      </c>
      <c r="C1699" s="3" t="s">
        <v>1801</v>
      </c>
      <c r="D1699" s="4" t="str">
        <f>HYPERLINK("https://12go.asia/en/travel/hohhot/yinchuan", "12Go Link")</f>
        <v>12Go Link</v>
      </c>
      <c r="E1699" s="3" t="s">
        <v>94</v>
      </c>
      <c r="K1699" s="5"/>
    </row>
    <row r="1700">
      <c r="A1700" s="3" t="s">
        <v>624</v>
      </c>
      <c r="B1700" s="3" t="s">
        <v>593</v>
      </c>
      <c r="C1700" s="3" t="s">
        <v>1802</v>
      </c>
      <c r="D1700" s="4" t="str">
        <f>HYPERLINK("https://12go.asia/en/travel/hong-kong-island/beijing", "12Go Link")</f>
        <v>12Go Link</v>
      </c>
      <c r="E1700" s="3" t="s">
        <v>94</v>
      </c>
      <c r="K1700" s="5"/>
    </row>
    <row r="1701">
      <c r="A1701" s="3" t="s">
        <v>624</v>
      </c>
      <c r="B1701" s="3" t="s">
        <v>600</v>
      </c>
      <c r="C1701" s="3" t="s">
        <v>1803</v>
      </c>
      <c r="D1701" s="4" t="str">
        <f>HYPERLINK("https://12go.asia/en/travel/hong-kong-island/boluo", "12Go Link")</f>
        <v>12Go Link</v>
      </c>
      <c r="E1701" s="3" t="s">
        <v>94</v>
      </c>
      <c r="K1701" s="5"/>
    </row>
    <row r="1702">
      <c r="A1702" s="3" t="s">
        <v>624</v>
      </c>
      <c r="B1702" s="3" t="s">
        <v>745</v>
      </c>
      <c r="C1702" s="3" t="s">
        <v>1804</v>
      </c>
      <c r="D1702" s="4" t="str">
        <f>HYPERLINK("https://12go.asia/en/travel/hong-kong-island/changsha", "12Go Link")</f>
        <v>12Go Link</v>
      </c>
      <c r="E1702" s="3" t="s">
        <v>94</v>
      </c>
      <c r="K1702" s="5"/>
    </row>
    <row r="1703">
      <c r="A1703" s="3" t="s">
        <v>624</v>
      </c>
      <c r="B1703" s="3" t="s">
        <v>841</v>
      </c>
      <c r="C1703" s="3" t="s">
        <v>1805</v>
      </c>
      <c r="D1703" s="4" t="str">
        <f>HYPERLINK("https://12go.asia/en/travel/hong-kong-island/chengdu", "12Go Link")</f>
        <v>12Go Link</v>
      </c>
      <c r="E1703" s="3" t="s">
        <v>94</v>
      </c>
      <c r="K1703" s="5"/>
    </row>
    <row r="1704">
      <c r="A1704" s="3" t="s">
        <v>624</v>
      </c>
      <c r="B1704" s="3" t="s">
        <v>1333</v>
      </c>
      <c r="C1704" s="3" t="s">
        <v>1806</v>
      </c>
      <c r="D1704" s="4" t="str">
        <f>HYPERLINK("https://12go.asia/en/travel/hong-kong-island/chongqing", "12Go Link")</f>
        <v>12Go Link</v>
      </c>
      <c r="E1704" s="3" t="s">
        <v>94</v>
      </c>
      <c r="K1704" s="5"/>
    </row>
    <row r="1705">
      <c r="A1705" s="3" t="s">
        <v>624</v>
      </c>
      <c r="B1705" s="3" t="s">
        <v>609</v>
      </c>
      <c r="C1705" s="3" t="s">
        <v>1807</v>
      </c>
      <c r="D1705" s="4" t="str">
        <f>HYPERLINK("https://12go.asia/en/travel/hong-kong-island/dongcheng-south", "12Go Link")</f>
        <v>12Go Link</v>
      </c>
      <c r="E1705" s="3" t="s">
        <v>94</v>
      </c>
      <c r="K1705" s="5"/>
    </row>
    <row r="1706">
      <c r="A1706" s="3" t="s">
        <v>624</v>
      </c>
      <c r="B1706" s="3" t="s">
        <v>611</v>
      </c>
      <c r="C1706" s="3" t="s">
        <v>1808</v>
      </c>
      <c r="D1706" s="4" t="str">
        <f>HYPERLINK("https://12go.asia/en/travel/hong-kong-island/dongguan", "12Go Link")</f>
        <v>12Go Link</v>
      </c>
      <c r="E1706" s="3" t="s">
        <v>94</v>
      </c>
      <c r="K1706" s="5"/>
    </row>
    <row r="1707">
      <c r="A1707" s="3" t="s">
        <v>624</v>
      </c>
      <c r="B1707" s="3" t="s">
        <v>1518</v>
      </c>
      <c r="C1707" s="3" t="s">
        <v>1809</v>
      </c>
      <c r="D1707" s="4" t="str">
        <f>HYPERLINK("https://12go.asia/en/travel/hong-kong-island/duan-yao", "12Go Link")</f>
        <v>12Go Link</v>
      </c>
      <c r="E1707" s="3" t="s">
        <v>94</v>
      </c>
      <c r="K1707" s="5"/>
    </row>
    <row r="1708">
      <c r="A1708" s="3" t="s">
        <v>624</v>
      </c>
      <c r="B1708" s="3" t="s">
        <v>1521</v>
      </c>
      <c r="C1708" s="3" t="s">
        <v>1810</v>
      </c>
      <c r="D1708" s="4" t="str">
        <f>HYPERLINK("https://12go.asia/en/travel/hong-kong-island/foshan", "12Go Link")</f>
        <v>12Go Link</v>
      </c>
      <c r="E1708" s="3" t="s">
        <v>94</v>
      </c>
      <c r="K1708" s="5"/>
    </row>
    <row r="1709">
      <c r="A1709" s="3" t="s">
        <v>624</v>
      </c>
      <c r="B1709" s="3" t="s">
        <v>1360</v>
      </c>
      <c r="C1709" s="3" t="s">
        <v>1811</v>
      </c>
      <c r="D1709" s="4" t="str">
        <f>HYPERLINK("https://12go.asia/en/travel/hong-kong-island/fujian", "12Go Link")</f>
        <v>12Go Link</v>
      </c>
      <c r="E1709" s="3" t="s">
        <v>94</v>
      </c>
      <c r="K1709" s="5"/>
    </row>
    <row r="1710">
      <c r="A1710" s="3" t="s">
        <v>624</v>
      </c>
      <c r="B1710" s="3" t="s">
        <v>1364</v>
      </c>
      <c r="C1710" s="3" t="s">
        <v>1812</v>
      </c>
      <c r="D1710" s="4" t="str">
        <f>HYPERLINK("https://12go.asia/en/travel/hong-kong-island/guangdong", "12Go Link")</f>
        <v>12Go Link</v>
      </c>
      <c r="E1710" s="3" t="s">
        <v>94</v>
      </c>
      <c r="K1710" s="5"/>
    </row>
    <row r="1711">
      <c r="A1711" s="3" t="s">
        <v>624</v>
      </c>
      <c r="B1711" s="3" t="s">
        <v>1366</v>
      </c>
      <c r="C1711" s="3" t="s">
        <v>1813</v>
      </c>
      <c r="D1711" s="4" t="str">
        <f>HYPERLINK("https://12go.asia/en/travel/hong-kong-island/guangzhou", "12Go Link")</f>
        <v>12Go Link</v>
      </c>
      <c r="E1711" s="3" t="s">
        <v>94</v>
      </c>
      <c r="K1711" s="5"/>
    </row>
    <row r="1712">
      <c r="A1712" s="3" t="s">
        <v>624</v>
      </c>
      <c r="B1712" s="3" t="s">
        <v>853</v>
      </c>
      <c r="C1712" s="3" t="s">
        <v>1814</v>
      </c>
      <c r="D1712" s="4" t="str">
        <f>HYPERLINK("https://12go.asia/en/travel/hong-kong-island/guilin", "12Go Link")</f>
        <v>12Go Link</v>
      </c>
      <c r="E1712" s="3" t="s">
        <v>94</v>
      </c>
      <c r="K1712" s="5"/>
    </row>
    <row r="1713">
      <c r="A1713" s="3" t="s">
        <v>624</v>
      </c>
      <c r="B1713" s="3" t="s">
        <v>1713</v>
      </c>
      <c r="C1713" s="3" t="s">
        <v>1815</v>
      </c>
      <c r="D1713" s="4" t="str">
        <f>HYPERLINK("https://12go.asia/en/travel/hong-kong-island/guiyang", "12Go Link")</f>
        <v>12Go Link</v>
      </c>
      <c r="E1713" s="3" t="s">
        <v>94</v>
      </c>
      <c r="K1713" s="5"/>
    </row>
    <row r="1714">
      <c r="A1714" s="3" t="s">
        <v>624</v>
      </c>
      <c r="B1714" s="3" t="s">
        <v>522</v>
      </c>
      <c r="C1714" s="3" t="s">
        <v>1816</v>
      </c>
      <c r="D1714" s="4" t="str">
        <f>HYPERLINK("https://12go.asia/en/travel/hong-kong-island/guizhou", "12Go Link")</f>
        <v>12Go Link</v>
      </c>
      <c r="E1714" s="3" t="s">
        <v>94</v>
      </c>
      <c r="K1714" s="5"/>
    </row>
    <row r="1715">
      <c r="A1715" s="3" t="s">
        <v>624</v>
      </c>
      <c r="B1715" s="3" t="s">
        <v>524</v>
      </c>
      <c r="C1715" s="3" t="s">
        <v>1817</v>
      </c>
      <c r="D1715" s="4" t="str">
        <f>HYPERLINK("https://12go.asia/en/travel/hong-kong-island/guzhang", "12Go Link")</f>
        <v>12Go Link</v>
      </c>
      <c r="E1715" s="3" t="s">
        <v>94</v>
      </c>
      <c r="K1715" s="5"/>
    </row>
    <row r="1716">
      <c r="A1716" s="3" t="s">
        <v>624</v>
      </c>
      <c r="B1716" s="3" t="s">
        <v>755</v>
      </c>
      <c r="C1716" s="3" t="s">
        <v>1818</v>
      </c>
      <c r="D1716" s="4" t="str">
        <f>HYPERLINK("https://12go.asia/en/travel/hong-kong-island/hangzhou", "12Go Link")</f>
        <v>12Go Link</v>
      </c>
      <c r="E1716" s="3" t="s">
        <v>94</v>
      </c>
      <c r="K1716" s="5"/>
    </row>
    <row r="1717">
      <c r="A1717" s="3" t="s">
        <v>624</v>
      </c>
      <c r="B1717" s="3" t="s">
        <v>1033</v>
      </c>
      <c r="C1717" s="3" t="s">
        <v>1819</v>
      </c>
      <c r="D1717" s="4" t="str">
        <f>HYPERLINK("https://12go.asia/en/travel/hong-kong-island/henan", "12Go Link")</f>
        <v>12Go Link</v>
      </c>
      <c r="E1717" s="3" t="s">
        <v>94</v>
      </c>
      <c r="K1717" s="5"/>
    </row>
    <row r="1718">
      <c r="A1718" s="3" t="s">
        <v>624</v>
      </c>
      <c r="B1718" s="3" t="s">
        <v>954</v>
      </c>
      <c r="C1718" s="3" t="s">
        <v>1820</v>
      </c>
      <c r="D1718" s="4" t="str">
        <f>HYPERLINK("https://12go.asia/en/travel/hong-kong-island/huidong", "12Go Link")</f>
        <v>12Go Link</v>
      </c>
      <c r="E1718" s="3" t="s">
        <v>94</v>
      </c>
      <c r="K1718" s="5"/>
    </row>
    <row r="1719">
      <c r="A1719" s="3" t="s">
        <v>624</v>
      </c>
      <c r="B1719" s="3" t="s">
        <v>957</v>
      </c>
      <c r="C1719" s="3" t="s">
        <v>1821</v>
      </c>
      <c r="D1719" s="4" t="str">
        <f>HYPERLINK("https://12go.asia/en/travel/hong-kong-island/huiyang-district", "12Go Link")</f>
        <v>12Go Link</v>
      </c>
      <c r="E1719" s="3" t="s">
        <v>94</v>
      </c>
      <c r="K1719" s="5"/>
    </row>
    <row r="1720">
      <c r="A1720" s="3" t="s">
        <v>624</v>
      </c>
      <c r="B1720" s="3" t="s">
        <v>1822</v>
      </c>
      <c r="C1720" s="3" t="s">
        <v>1823</v>
      </c>
      <c r="D1720" s="4" t="str">
        <f>HYPERLINK("https://12go.asia/en/travel/hong-kong-island/huizhou", "12Go Link")</f>
        <v>12Go Link</v>
      </c>
      <c r="E1720" s="3" t="s">
        <v>94</v>
      </c>
      <c r="K1720" s="5"/>
    </row>
    <row r="1721">
      <c r="A1721" s="3" t="s">
        <v>624</v>
      </c>
      <c r="B1721" s="3" t="s">
        <v>636</v>
      </c>
      <c r="C1721" s="3" t="s">
        <v>1824</v>
      </c>
      <c r="D1721" s="4" t="str">
        <f>HYPERLINK("https://12go.asia/en/travel/hong-kong-island/humen-town", "12Go Link")</f>
        <v>12Go Link</v>
      </c>
      <c r="E1721" s="3" t="s">
        <v>94</v>
      </c>
      <c r="K1721" s="5"/>
    </row>
    <row r="1722">
      <c r="A1722" s="3" t="s">
        <v>624</v>
      </c>
      <c r="B1722" s="3" t="s">
        <v>536</v>
      </c>
      <c r="C1722" s="3" t="s">
        <v>1825</v>
      </c>
      <c r="D1722" s="4" t="str">
        <f>HYPERLINK("https://12go.asia/en/travel/hong-kong-island/hunan", "12Go Link")</f>
        <v>12Go Link</v>
      </c>
      <c r="E1722" s="3" t="s">
        <v>94</v>
      </c>
      <c r="K1722" s="5"/>
    </row>
    <row r="1723">
      <c r="A1723" s="3" t="s">
        <v>624</v>
      </c>
      <c r="B1723" s="3" t="s">
        <v>639</v>
      </c>
      <c r="C1723" s="3" t="s">
        <v>1826</v>
      </c>
      <c r="D1723" s="4" t="str">
        <f>HYPERLINK("https://12go.asia/en/travel/hong-kong-island/jiangbei", "12Go Link")</f>
        <v>12Go Link</v>
      </c>
      <c r="E1723" s="3" t="s">
        <v>94</v>
      </c>
      <c r="K1723" s="5"/>
    </row>
    <row r="1724">
      <c r="A1724" s="3" t="s">
        <v>624</v>
      </c>
      <c r="B1724" s="3" t="s">
        <v>641</v>
      </c>
      <c r="C1724" s="3" t="s">
        <v>1827</v>
      </c>
      <c r="D1724" s="4" t="str">
        <f>HYPERLINK("https://12go.asia/en/travel/hong-kong-island/jiangjin", "12Go Link")</f>
        <v>12Go Link</v>
      </c>
      <c r="E1724" s="3" t="s">
        <v>94</v>
      </c>
      <c r="K1724" s="5"/>
    </row>
    <row r="1725">
      <c r="A1725" s="3" t="s">
        <v>624</v>
      </c>
      <c r="B1725" s="3" t="s">
        <v>645</v>
      </c>
      <c r="C1725" s="3" t="s">
        <v>1828</v>
      </c>
      <c r="D1725" s="4" t="str">
        <f>HYPERLINK("https://12go.asia/en/travel/hong-kong-island/jiangxia", "12Go Link")</f>
        <v>12Go Link</v>
      </c>
      <c r="E1725" s="3" t="s">
        <v>94</v>
      </c>
      <c r="K1725" s="5"/>
    </row>
    <row r="1726">
      <c r="A1726" s="3" t="s">
        <v>624</v>
      </c>
      <c r="B1726" s="3" t="s">
        <v>647</v>
      </c>
      <c r="C1726" s="3" t="s">
        <v>1829</v>
      </c>
      <c r="D1726" s="4" t="str">
        <f>HYPERLINK("https://12go.asia/en/travel/hong-kong-island/jiangyuan", "12Go Link")</f>
        <v>12Go Link</v>
      </c>
      <c r="E1726" s="3" t="s">
        <v>94</v>
      </c>
      <c r="K1726" s="5"/>
    </row>
    <row r="1727">
      <c r="A1727" s="3" t="s">
        <v>624</v>
      </c>
      <c r="B1727" s="3" t="s">
        <v>542</v>
      </c>
      <c r="C1727" s="3" t="s">
        <v>1830</v>
      </c>
      <c r="D1727" s="4" t="str">
        <f>HYPERLINK("https://12go.asia/en/travel/hong-kong-island/jiaocheng", "12Go Link")</f>
        <v>12Go Link</v>
      </c>
      <c r="E1727" s="3" t="s">
        <v>94</v>
      </c>
      <c r="K1727" s="5"/>
    </row>
    <row r="1728">
      <c r="A1728" s="3" t="s">
        <v>624</v>
      </c>
      <c r="B1728" s="3" t="s">
        <v>1831</v>
      </c>
      <c r="C1728" s="3" t="s">
        <v>1832</v>
      </c>
      <c r="D1728" s="4" t="str">
        <f>HYPERLINK("https://12go.asia/en/travel/hong-kong-island/kaiping", "12Go Link")</f>
        <v>12Go Link</v>
      </c>
      <c r="E1728" s="3" t="s">
        <v>94</v>
      </c>
      <c r="K1728" s="5"/>
    </row>
    <row r="1729">
      <c r="A1729" s="3" t="s">
        <v>624</v>
      </c>
      <c r="B1729" s="3" t="s">
        <v>1529</v>
      </c>
      <c r="C1729" s="3" t="s">
        <v>1833</v>
      </c>
      <c r="D1729" s="4" t="str">
        <f>HYPERLINK("https://12go.asia/en/travel/hong-kong-island/kunming", "12Go Link")</f>
        <v>12Go Link</v>
      </c>
      <c r="E1729" s="3" t="s">
        <v>94</v>
      </c>
      <c r="K1729" s="5"/>
    </row>
    <row r="1730">
      <c r="A1730" s="3" t="s">
        <v>624</v>
      </c>
      <c r="B1730" s="3" t="s">
        <v>1834</v>
      </c>
      <c r="C1730" s="3" t="s">
        <v>1835</v>
      </c>
      <c r="D1730" s="4" t="str">
        <f>HYPERLINK("https://12go.asia/en/travel/hong-kong-island/lufeng-guangdong", "12Go Link")</f>
        <v>12Go Link</v>
      </c>
      <c r="E1730" s="3" t="s">
        <v>94</v>
      </c>
      <c r="K1730" s="5"/>
    </row>
    <row r="1731">
      <c r="A1731" s="3" t="s">
        <v>624</v>
      </c>
      <c r="B1731" s="3" t="s">
        <v>674</v>
      </c>
      <c r="C1731" s="3" t="s">
        <v>1836</v>
      </c>
      <c r="D1731" s="4" t="str">
        <f>HYPERLINK("https://12go.asia/en/travel/hong-kong-island/maoming", "12Go Link")</f>
        <v>12Go Link</v>
      </c>
      <c r="E1731" s="3" t="s">
        <v>94</v>
      </c>
      <c r="K1731" s="5"/>
    </row>
    <row r="1732">
      <c r="A1732" s="3" t="s">
        <v>624</v>
      </c>
      <c r="B1732" s="3" t="s">
        <v>679</v>
      </c>
      <c r="C1732" s="3" t="s">
        <v>1837</v>
      </c>
      <c r="D1732" s="4" t="str">
        <f>HYPERLINK("https://12go.asia/en/travel/hong-kong-island/mingxi", "12Go Link")</f>
        <v>12Go Link</v>
      </c>
      <c r="E1732" s="3" t="s">
        <v>94</v>
      </c>
      <c r="K1732" s="5"/>
    </row>
    <row r="1733">
      <c r="A1733" s="3" t="s">
        <v>624</v>
      </c>
      <c r="B1733" s="3" t="s">
        <v>874</v>
      </c>
      <c r="C1733" s="3" t="s">
        <v>1838</v>
      </c>
      <c r="D1733" s="4" t="str">
        <f>HYPERLINK("https://12go.asia/en/travel/hong-kong-island/nanchang", "12Go Link")</f>
        <v>12Go Link</v>
      </c>
      <c r="E1733" s="3" t="s">
        <v>94</v>
      </c>
      <c r="K1733" s="5"/>
    </row>
    <row r="1734">
      <c r="A1734" s="3" t="s">
        <v>624</v>
      </c>
      <c r="B1734" s="3" t="s">
        <v>1534</v>
      </c>
      <c r="C1734" s="3" t="s">
        <v>1839</v>
      </c>
      <c r="D1734" s="4" t="str">
        <f>HYPERLINK("https://12go.asia/en/travel/hong-kong-island/nanning", "12Go Link")</f>
        <v>12Go Link</v>
      </c>
      <c r="E1734" s="3" t="s">
        <v>94</v>
      </c>
      <c r="K1734" s="5"/>
    </row>
    <row r="1735">
      <c r="A1735" s="3" t="s">
        <v>624</v>
      </c>
      <c r="B1735" s="3" t="s">
        <v>1840</v>
      </c>
      <c r="C1735" s="3" t="s">
        <v>1841</v>
      </c>
      <c r="D1735" s="4" t="str">
        <f>HYPERLINK("https://12go.asia/en/travel/hong-kong-island/pingshan-shenzhen", "12Go Link")</f>
        <v>12Go Link</v>
      </c>
      <c r="E1735" s="3" t="s">
        <v>94</v>
      </c>
      <c r="K1735" s="5"/>
    </row>
    <row r="1736">
      <c r="A1736" s="3" t="s">
        <v>624</v>
      </c>
      <c r="B1736" s="3" t="s">
        <v>1390</v>
      </c>
      <c r="C1736" s="3" t="s">
        <v>1842</v>
      </c>
      <c r="D1736" s="4" t="str">
        <f>HYPERLINK("https://12go.asia/en/travel/hong-kong-island/puning", "12Go Link")</f>
        <v>12Go Link</v>
      </c>
      <c r="E1736" s="3" t="s">
        <v>94</v>
      </c>
      <c r="K1736" s="5"/>
    </row>
    <row r="1737">
      <c r="A1737" s="3" t="s">
        <v>624</v>
      </c>
      <c r="B1737" s="3" t="s">
        <v>1220</v>
      </c>
      <c r="C1737" s="3" t="s">
        <v>1843</v>
      </c>
      <c r="D1737" s="4" t="str">
        <f>HYPERLINK("https://12go.asia/en/travel/hong-kong-island/quanzhou", "12Go Link")</f>
        <v>12Go Link</v>
      </c>
      <c r="E1737" s="3" t="s">
        <v>94</v>
      </c>
      <c r="K1737" s="5"/>
    </row>
    <row r="1738">
      <c r="A1738" s="3" t="s">
        <v>624</v>
      </c>
      <c r="B1738" s="3" t="s">
        <v>550</v>
      </c>
      <c r="C1738" s="3" t="s">
        <v>1844</v>
      </c>
      <c r="D1738" s="4" t="str">
        <f>HYPERLINK("https://12go.asia/en/travel/hong-kong-island/saihan", "12Go Link")</f>
        <v>12Go Link</v>
      </c>
      <c r="E1738" s="3" t="s">
        <v>94</v>
      </c>
      <c r="K1738" s="5"/>
    </row>
    <row r="1739">
      <c r="A1739" s="3" t="s">
        <v>624</v>
      </c>
      <c r="B1739" s="3" t="s">
        <v>512</v>
      </c>
      <c r="C1739" s="3" t="s">
        <v>1845</v>
      </c>
      <c r="D1739" s="4" t="str">
        <f>HYPERLINK("https://12go.asia/en/travel/hong-kong-island/shanghai", "12Go Link")</f>
        <v>12Go Link</v>
      </c>
      <c r="E1739" s="3" t="s">
        <v>94</v>
      </c>
      <c r="K1739" s="5"/>
    </row>
    <row r="1740">
      <c r="A1740" s="3" t="s">
        <v>624</v>
      </c>
      <c r="B1740" s="3" t="s">
        <v>1846</v>
      </c>
      <c r="C1740" s="3" t="s">
        <v>1847</v>
      </c>
      <c r="D1740" s="4" t="str">
        <f>HYPERLINK("https://12go.asia/en/travel/hong-kong-island/shantou", "12Go Link")</f>
        <v>12Go Link</v>
      </c>
      <c r="E1740" s="3" t="s">
        <v>94</v>
      </c>
      <c r="K1740" s="5"/>
    </row>
    <row r="1741">
      <c r="A1741" s="3" t="s">
        <v>624</v>
      </c>
      <c r="B1741" s="3" t="s">
        <v>1848</v>
      </c>
      <c r="C1741" s="3" t="s">
        <v>1849</v>
      </c>
      <c r="D1741" s="4" t="str">
        <f>HYPERLINK("https://12go.asia/en/travel/hong-kong-island/shanwei", "12Go Link")</f>
        <v>12Go Link</v>
      </c>
      <c r="E1741" s="3" t="s">
        <v>94</v>
      </c>
      <c r="K1741" s="5"/>
    </row>
    <row r="1742">
      <c r="A1742" s="3" t="s">
        <v>624</v>
      </c>
      <c r="B1742" s="3" t="s">
        <v>1312</v>
      </c>
      <c r="C1742" s="3" t="s">
        <v>1850</v>
      </c>
      <c r="D1742" s="4" t="str">
        <f>HYPERLINK("https://12go.asia/en/travel/hong-kong-island/shaoyang", "12Go Link")</f>
        <v>12Go Link</v>
      </c>
      <c r="E1742" s="3" t="s">
        <v>94</v>
      </c>
      <c r="K1742" s="5"/>
    </row>
    <row r="1743">
      <c r="A1743" s="3" t="s">
        <v>624</v>
      </c>
      <c r="B1743" s="3" t="s">
        <v>1395</v>
      </c>
      <c r="C1743" s="3" t="s">
        <v>1851</v>
      </c>
      <c r="D1743" s="4" t="str">
        <f>HYPERLINK("https://12go.asia/en/travel/hong-kong-island/shenzhen", "12Go Link")</f>
        <v>12Go Link</v>
      </c>
      <c r="E1743" s="3" t="s">
        <v>94</v>
      </c>
      <c r="K1743" s="5"/>
    </row>
    <row r="1744">
      <c r="A1744" s="3" t="s">
        <v>624</v>
      </c>
      <c r="B1744" s="3" t="s">
        <v>562</v>
      </c>
      <c r="C1744" s="3" t="s">
        <v>1852</v>
      </c>
      <c r="D1744" s="4" t="str">
        <f>HYPERLINK("https://12go.asia/en/travel/hong-kong-island/sichuan", "12Go Link")</f>
        <v>12Go Link</v>
      </c>
      <c r="E1744" s="3" t="s">
        <v>94</v>
      </c>
      <c r="K1744" s="5"/>
    </row>
    <row r="1745">
      <c r="A1745" s="3" t="s">
        <v>624</v>
      </c>
      <c r="B1745" s="3" t="s">
        <v>823</v>
      </c>
      <c r="C1745" s="3" t="s">
        <v>1853</v>
      </c>
      <c r="D1745" s="4" t="str">
        <f>HYPERLINK("https://12go.asia/en/travel/hong-kong-island/tianjin", "12Go Link")</f>
        <v>12Go Link</v>
      </c>
      <c r="E1745" s="3" t="s">
        <v>94</v>
      </c>
      <c r="K1745" s="5"/>
    </row>
    <row r="1746">
      <c r="A1746" s="3" t="s">
        <v>624</v>
      </c>
      <c r="B1746" s="3" t="s">
        <v>564</v>
      </c>
      <c r="C1746" s="3" t="s">
        <v>1854</v>
      </c>
      <c r="D1746" s="4" t="str">
        <f>HYPERLINK("https://12go.asia/en/travel/hong-kong-island/tianxin", "12Go Link")</f>
        <v>12Go Link</v>
      </c>
      <c r="E1746" s="3" t="s">
        <v>94</v>
      </c>
      <c r="K1746" s="5"/>
    </row>
    <row r="1747">
      <c r="A1747" s="3" t="s">
        <v>624</v>
      </c>
      <c r="B1747" s="3" t="s">
        <v>796</v>
      </c>
      <c r="C1747" s="3" t="s">
        <v>1855</v>
      </c>
      <c r="D1747" s="4" t="str">
        <f>HYPERLINK("https://12go.asia/en/travel/hong-kong-island/wuhan", "12Go Link")</f>
        <v>12Go Link</v>
      </c>
      <c r="E1747" s="3" t="s">
        <v>94</v>
      </c>
      <c r="K1747" s="5"/>
    </row>
    <row r="1748">
      <c r="A1748" s="3" t="s">
        <v>624</v>
      </c>
      <c r="B1748" s="3" t="s">
        <v>1856</v>
      </c>
      <c r="C1748" s="3" t="s">
        <v>1857</v>
      </c>
      <c r="D1748" s="4" t="str">
        <f>HYPERLINK("https://12go.asia/en/travel/hong-kong-island/wuzhou", "12Go Link")</f>
        <v>12Go Link</v>
      </c>
      <c r="E1748" s="3" t="s">
        <v>94</v>
      </c>
      <c r="K1748" s="5"/>
    </row>
    <row r="1749">
      <c r="A1749" s="3" t="s">
        <v>624</v>
      </c>
      <c r="B1749" s="3" t="s">
        <v>1403</v>
      </c>
      <c r="C1749" s="3" t="s">
        <v>1858</v>
      </c>
      <c r="D1749" s="4" t="str">
        <f>HYPERLINK("https://12go.asia/en/travel/hong-kong-island/xiamen", "12Go Link")</f>
        <v>12Go Link</v>
      </c>
      <c r="E1749" s="3" t="s">
        <v>94</v>
      </c>
      <c r="K1749" s="5"/>
    </row>
    <row r="1750">
      <c r="A1750" s="3" t="s">
        <v>624</v>
      </c>
      <c r="B1750" s="3" t="s">
        <v>712</v>
      </c>
      <c r="C1750" s="3" t="s">
        <v>1859</v>
      </c>
      <c r="D1750" s="4" t="str">
        <f>HYPERLINK("https://12go.asia/en/travel/hong-kong-island/xihu", "12Go Link")</f>
        <v>12Go Link</v>
      </c>
      <c r="E1750" s="3" t="s">
        <v>94</v>
      </c>
      <c r="K1750" s="5"/>
    </row>
    <row r="1751">
      <c r="A1751" s="3" t="s">
        <v>624</v>
      </c>
      <c r="B1751" s="3" t="s">
        <v>575</v>
      </c>
      <c r="C1751" s="3" t="s">
        <v>1860</v>
      </c>
      <c r="D1751" s="4" t="str">
        <f>HYPERLINK("https://12go.asia/en/travel/hong-kong-island/xishui", "12Go Link")</f>
        <v>12Go Link</v>
      </c>
      <c r="E1751" s="3" t="s">
        <v>94</v>
      </c>
      <c r="K1751" s="5"/>
    </row>
    <row r="1752">
      <c r="A1752" s="3" t="s">
        <v>624</v>
      </c>
      <c r="B1752" s="3" t="s">
        <v>1540</v>
      </c>
      <c r="C1752" s="3" t="s">
        <v>1861</v>
      </c>
      <c r="D1752" s="4" t="str">
        <f>HYPERLINK("https://12go.asia/en/travel/hong-kong-island/yunnan", "12Go Link")</f>
        <v>12Go Link</v>
      </c>
      <c r="E1752" s="3" t="s">
        <v>94</v>
      </c>
      <c r="K1752" s="5"/>
    </row>
    <row r="1753">
      <c r="A1753" s="3" t="s">
        <v>624</v>
      </c>
      <c r="B1753" s="3" t="s">
        <v>1326</v>
      </c>
      <c r="C1753" s="3" t="s">
        <v>1862</v>
      </c>
      <c r="D1753" s="4" t="str">
        <f>HYPERLINK("https://12go.asia/en/travel/hong-kong-island/zhangjiajie", "12Go Link")</f>
        <v>12Go Link</v>
      </c>
      <c r="E1753" s="3" t="s">
        <v>94</v>
      </c>
      <c r="K1753" s="5"/>
    </row>
    <row r="1754">
      <c r="A1754" s="3" t="s">
        <v>624</v>
      </c>
      <c r="B1754" s="3" t="s">
        <v>1729</v>
      </c>
      <c r="C1754" s="3" t="s">
        <v>1863</v>
      </c>
      <c r="D1754" s="4" t="str">
        <f>HYPERLINK("https://12go.asia/en/travel/hong-kong-island/zhanjiang", "12Go Link")</f>
        <v>12Go Link</v>
      </c>
      <c r="E1754" s="3" t="s">
        <v>94</v>
      </c>
      <c r="K1754" s="5"/>
    </row>
    <row r="1755">
      <c r="A1755" s="3" t="s">
        <v>624</v>
      </c>
      <c r="B1755" s="3" t="s">
        <v>1021</v>
      </c>
      <c r="C1755" s="3" t="s">
        <v>1864</v>
      </c>
      <c r="D1755" s="4" t="str">
        <f>HYPERLINK("https://12go.asia/en/travel/hong-kong-island/zhejiang", "12Go Link")</f>
        <v>12Go Link</v>
      </c>
      <c r="E1755" s="3" t="s">
        <v>94</v>
      </c>
      <c r="K1755" s="5"/>
    </row>
    <row r="1756">
      <c r="A1756" s="3" t="s">
        <v>624</v>
      </c>
      <c r="B1756" s="3" t="s">
        <v>585</v>
      </c>
      <c r="C1756" s="3" t="s">
        <v>1865</v>
      </c>
      <c r="D1756" s="4" t="str">
        <f>HYPERLINK("https://12go.asia/en/travel/hong-kong-island/zhengzhou", "12Go Link")</f>
        <v>12Go Link</v>
      </c>
      <c r="E1756" s="3" t="s">
        <v>94</v>
      </c>
      <c r="K1756" s="5"/>
    </row>
    <row r="1757">
      <c r="A1757" s="3" t="s">
        <v>624</v>
      </c>
      <c r="B1757" s="3" t="s">
        <v>1542</v>
      </c>
      <c r="C1757" s="3" t="s">
        <v>1866</v>
      </c>
      <c r="D1757" s="4" t="str">
        <f>HYPERLINK("https://12go.asia/en/travel/hong-kong-island/zhuhai", "12Go Link")</f>
        <v>12Go Link</v>
      </c>
      <c r="E1757" s="3" t="s">
        <v>1867</v>
      </c>
      <c r="K1757" s="5"/>
    </row>
    <row r="1758">
      <c r="A1758" s="3" t="s">
        <v>1372</v>
      </c>
      <c r="B1758" s="3" t="s">
        <v>600</v>
      </c>
      <c r="C1758" s="3" t="s">
        <v>1868</v>
      </c>
      <c r="D1758" s="4" t="str">
        <f>HYPERLINK("https://12go.asia/en/travel/hong-kong-west-kowloon/boluo", "12Go Link")</f>
        <v>12Go Link</v>
      </c>
      <c r="E1758" s="3" t="s">
        <v>94</v>
      </c>
      <c r="K1758" s="5"/>
    </row>
    <row r="1759">
      <c r="A1759" s="3" t="s">
        <v>1372</v>
      </c>
      <c r="B1759" s="3" t="s">
        <v>609</v>
      </c>
      <c r="C1759" s="3" t="s">
        <v>1869</v>
      </c>
      <c r="D1759" s="4" t="str">
        <f>HYPERLINK("https://12go.asia/en/travel/hong-kong-west-kowloon/dongcheng-south", "12Go Link")</f>
        <v>12Go Link</v>
      </c>
      <c r="E1759" s="3" t="s">
        <v>94</v>
      </c>
      <c r="K1759" s="5"/>
    </row>
    <row r="1760">
      <c r="A1760" s="3" t="s">
        <v>1372</v>
      </c>
      <c r="B1760" s="3" t="s">
        <v>1518</v>
      </c>
      <c r="C1760" s="3" t="s">
        <v>1870</v>
      </c>
      <c r="D1760" s="4" t="str">
        <f>HYPERLINK("https://12go.asia/en/travel/hong-kong-west-kowloon/duan-yao", "12Go Link")</f>
        <v>12Go Link</v>
      </c>
      <c r="E1760" s="3" t="s">
        <v>94</v>
      </c>
      <c r="K1760" s="5"/>
    </row>
    <row r="1761">
      <c r="A1761" s="3" t="s">
        <v>1372</v>
      </c>
      <c r="B1761" s="3" t="s">
        <v>524</v>
      </c>
      <c r="C1761" s="3" t="s">
        <v>1871</v>
      </c>
      <c r="D1761" s="4" t="str">
        <f>HYPERLINK("https://12go.asia/en/travel/hong-kong-west-kowloon/guzhang", "12Go Link")</f>
        <v>12Go Link</v>
      </c>
      <c r="E1761" s="3" t="s">
        <v>94</v>
      </c>
      <c r="K1761" s="5"/>
    </row>
    <row r="1762">
      <c r="A1762" s="3" t="s">
        <v>1372</v>
      </c>
      <c r="B1762" s="3" t="s">
        <v>1033</v>
      </c>
      <c r="C1762" s="3" t="s">
        <v>1872</v>
      </c>
      <c r="D1762" s="4" t="str">
        <f>HYPERLINK("https://12go.asia/en/travel/hong-kong-west-kowloon/henan", "12Go Link")</f>
        <v>12Go Link</v>
      </c>
      <c r="E1762" s="3" t="s">
        <v>94</v>
      </c>
      <c r="K1762" s="5"/>
    </row>
    <row r="1763">
      <c r="A1763" s="3" t="s">
        <v>1372</v>
      </c>
      <c r="B1763" s="3" t="s">
        <v>620</v>
      </c>
      <c r="C1763" s="3" t="s">
        <v>1873</v>
      </c>
      <c r="D1763" s="4" t="str">
        <f>HYPERLINK("https://12go.asia/en/travel/hong-kong-west-kowloon/hengqin-island", "12Go Link")</f>
        <v>12Go Link</v>
      </c>
      <c r="E1763" s="3" t="s">
        <v>1867</v>
      </c>
      <c r="K1763" s="5"/>
    </row>
    <row r="1764">
      <c r="A1764" s="3" t="s">
        <v>1372</v>
      </c>
      <c r="B1764" s="3" t="s">
        <v>954</v>
      </c>
      <c r="C1764" s="3" t="s">
        <v>1874</v>
      </c>
      <c r="D1764" s="4" t="str">
        <f>HYPERLINK("https://12go.asia/en/travel/hong-kong-west-kowloon/huidong", "12Go Link")</f>
        <v>12Go Link</v>
      </c>
      <c r="E1764" s="3" t="s">
        <v>94</v>
      </c>
      <c r="K1764" s="5"/>
    </row>
    <row r="1765">
      <c r="A1765" s="3" t="s">
        <v>1372</v>
      </c>
      <c r="B1765" s="3" t="s">
        <v>954</v>
      </c>
      <c r="C1765" s="3" t="s">
        <v>1875</v>
      </c>
      <c r="D1765" s="4" t="str">
        <f>HYPERLINK("https://12go.asia/en/travel/hong-kong-west-kowloon/huidong-south", "12Go Link")</f>
        <v>12Go Link</v>
      </c>
      <c r="E1765" s="3" t="s">
        <v>94</v>
      </c>
      <c r="K1765" s="5"/>
    </row>
    <row r="1766">
      <c r="A1766" s="3" t="s">
        <v>1372</v>
      </c>
      <c r="B1766" s="3" t="s">
        <v>639</v>
      </c>
      <c r="C1766" s="3" t="s">
        <v>1876</v>
      </c>
      <c r="D1766" s="4" t="str">
        <f>HYPERLINK("https://12go.asia/en/travel/hong-kong-west-kowloon/jiangbei", "12Go Link")</f>
        <v>12Go Link</v>
      </c>
      <c r="E1766" s="3" t="s">
        <v>94</v>
      </c>
      <c r="K1766" s="5"/>
    </row>
    <row r="1767">
      <c r="A1767" s="3" t="s">
        <v>1372</v>
      </c>
      <c r="B1767" s="3" t="s">
        <v>641</v>
      </c>
      <c r="C1767" s="3" t="s">
        <v>1877</v>
      </c>
      <c r="D1767" s="4" t="str">
        <f>HYPERLINK("https://12go.asia/en/travel/hong-kong-west-kowloon/jiangjin", "12Go Link")</f>
        <v>12Go Link</v>
      </c>
      <c r="E1767" s="3" t="s">
        <v>94</v>
      </c>
      <c r="K1767" s="5"/>
    </row>
    <row r="1768">
      <c r="A1768" s="3" t="s">
        <v>1372</v>
      </c>
      <c r="B1768" s="3" t="s">
        <v>645</v>
      </c>
      <c r="C1768" s="3" t="s">
        <v>1878</v>
      </c>
      <c r="D1768" s="4" t="str">
        <f>HYPERLINK("https://12go.asia/en/travel/hong-kong-west-kowloon/jiangxia", "12Go Link")</f>
        <v>12Go Link</v>
      </c>
      <c r="E1768" s="3" t="s">
        <v>94</v>
      </c>
      <c r="K1768" s="5"/>
    </row>
    <row r="1769">
      <c r="A1769" s="3" t="s">
        <v>1372</v>
      </c>
      <c r="B1769" s="3" t="s">
        <v>647</v>
      </c>
      <c r="C1769" s="3" t="s">
        <v>1879</v>
      </c>
      <c r="D1769" s="4" t="str">
        <f>HYPERLINK("https://12go.asia/en/travel/hong-kong-west-kowloon/jiangyuan", "12Go Link")</f>
        <v>12Go Link</v>
      </c>
      <c r="E1769" s="3" t="s">
        <v>94</v>
      </c>
      <c r="K1769" s="5"/>
    </row>
    <row r="1770">
      <c r="A1770" s="3" t="s">
        <v>1372</v>
      </c>
      <c r="B1770" s="3" t="s">
        <v>542</v>
      </c>
      <c r="C1770" s="3" t="s">
        <v>1880</v>
      </c>
      <c r="D1770" s="4" t="str">
        <f>HYPERLINK("https://12go.asia/en/travel/hong-kong-west-kowloon/jiaocheng", "12Go Link")</f>
        <v>12Go Link</v>
      </c>
      <c r="E1770" s="3" t="s">
        <v>94</v>
      </c>
      <c r="K1770" s="5"/>
    </row>
    <row r="1771">
      <c r="A1771" s="3" t="s">
        <v>1372</v>
      </c>
      <c r="B1771" s="3" t="s">
        <v>1831</v>
      </c>
      <c r="C1771" s="3" t="s">
        <v>1881</v>
      </c>
      <c r="D1771" s="4" t="str">
        <f>HYPERLINK("https://12go.asia/en/travel/hong-kong-west-kowloon/kaiping", "12Go Link")</f>
        <v>12Go Link</v>
      </c>
      <c r="E1771" s="3" t="s">
        <v>94</v>
      </c>
      <c r="K1771" s="5"/>
    </row>
    <row r="1772">
      <c r="A1772" s="3" t="s">
        <v>1372</v>
      </c>
      <c r="B1772" s="3" t="s">
        <v>1831</v>
      </c>
      <c r="C1772" s="3" t="s">
        <v>1882</v>
      </c>
      <c r="D1772" s="4" t="str">
        <f>HYPERLINK("https://12go.asia/en/travel/hong-kong-west-kowloon/kaiping-south", "12Go Link")</f>
        <v>12Go Link</v>
      </c>
      <c r="E1772" s="3" t="s">
        <v>94</v>
      </c>
      <c r="K1772" s="5"/>
    </row>
    <row r="1773">
      <c r="A1773" s="3" t="s">
        <v>1372</v>
      </c>
      <c r="B1773" s="3" t="s">
        <v>679</v>
      </c>
      <c r="C1773" s="3" t="s">
        <v>1883</v>
      </c>
      <c r="D1773" s="4" t="str">
        <f>HYPERLINK("https://12go.asia/en/travel/hong-kong-west-kowloon/mingxi", "12Go Link")</f>
        <v>12Go Link</v>
      </c>
      <c r="E1773" s="3" t="s">
        <v>94</v>
      </c>
      <c r="K1773" s="5"/>
    </row>
    <row r="1774">
      <c r="A1774" s="3" t="s">
        <v>1372</v>
      </c>
      <c r="B1774" s="3" t="s">
        <v>550</v>
      </c>
      <c r="C1774" s="3" t="s">
        <v>1884</v>
      </c>
      <c r="D1774" s="4" t="str">
        <f>HYPERLINK("https://12go.asia/en/travel/hong-kong-west-kowloon/saihan", "12Go Link")</f>
        <v>12Go Link</v>
      </c>
      <c r="E1774" s="3" t="s">
        <v>94</v>
      </c>
      <c r="K1774" s="5"/>
    </row>
    <row r="1775">
      <c r="A1775" s="3" t="s">
        <v>1372</v>
      </c>
      <c r="B1775" s="3" t="s">
        <v>1312</v>
      </c>
      <c r="C1775" s="3" t="s">
        <v>1885</v>
      </c>
      <c r="D1775" s="4" t="str">
        <f>HYPERLINK("https://12go.asia/en/travel/hong-kong-west-kowloon/shaoyang", "12Go Link")</f>
        <v>12Go Link</v>
      </c>
      <c r="E1775" s="3" t="s">
        <v>94</v>
      </c>
      <c r="K1775" s="5"/>
    </row>
    <row r="1776">
      <c r="A1776" s="3" t="s">
        <v>1372</v>
      </c>
      <c r="B1776" s="3" t="s">
        <v>562</v>
      </c>
      <c r="C1776" s="3" t="s">
        <v>1886</v>
      </c>
      <c r="D1776" s="4" t="str">
        <f>HYPERLINK("https://12go.asia/en/travel/hong-kong-west-kowloon/sichuan", "12Go Link")</f>
        <v>12Go Link</v>
      </c>
      <c r="E1776" s="3" t="s">
        <v>94</v>
      </c>
      <c r="K1776" s="5"/>
    </row>
    <row r="1777">
      <c r="A1777" s="3" t="s">
        <v>1372</v>
      </c>
      <c r="B1777" s="3" t="s">
        <v>564</v>
      </c>
      <c r="C1777" s="3" t="s">
        <v>1887</v>
      </c>
      <c r="D1777" s="4" t="str">
        <f>HYPERLINK("https://12go.asia/en/travel/hong-kong-west-kowloon/tianxin", "12Go Link")</f>
        <v>12Go Link</v>
      </c>
      <c r="E1777" s="3" t="s">
        <v>94</v>
      </c>
      <c r="K1777" s="5"/>
    </row>
    <row r="1778">
      <c r="A1778" s="3" t="s">
        <v>1372</v>
      </c>
      <c r="B1778" s="3" t="s">
        <v>712</v>
      </c>
      <c r="C1778" s="3" t="s">
        <v>1888</v>
      </c>
      <c r="D1778" s="4" t="str">
        <f>HYPERLINK("https://12go.asia/en/travel/hong-kong-west-kowloon/xihu", "12Go Link")</f>
        <v>12Go Link</v>
      </c>
      <c r="E1778" s="3" t="s">
        <v>94</v>
      </c>
      <c r="K1778" s="5"/>
    </row>
    <row r="1779">
      <c r="A1779" s="3" t="s">
        <v>1372</v>
      </c>
      <c r="B1779" s="3" t="s">
        <v>575</v>
      </c>
      <c r="C1779" s="3" t="s">
        <v>1889</v>
      </c>
      <c r="D1779" s="4" t="str">
        <f>HYPERLINK("https://12go.asia/en/travel/hong-kong-west-kowloon/xishui", "12Go Link")</f>
        <v>12Go Link</v>
      </c>
      <c r="E1779" s="3" t="s">
        <v>94</v>
      </c>
      <c r="K1779" s="5"/>
    </row>
    <row r="1780">
      <c r="A1780" s="3" t="s">
        <v>1372</v>
      </c>
      <c r="B1780" s="3" t="s">
        <v>720</v>
      </c>
      <c r="C1780" s="3" t="s">
        <v>1890</v>
      </c>
      <c r="D1780" s="4" t="str">
        <f>HYPERLINK("https://12go.asia/en/travel/hong-kong-west-kowloon/yangchun", "12Go Link")</f>
        <v>12Go Link</v>
      </c>
      <c r="E1780" s="3" t="s">
        <v>1867</v>
      </c>
      <c r="K1780" s="5"/>
    </row>
    <row r="1781">
      <c r="A1781" s="3" t="s">
        <v>1372</v>
      </c>
      <c r="B1781" s="3" t="s">
        <v>1540</v>
      </c>
      <c r="C1781" s="3" t="s">
        <v>1891</v>
      </c>
      <c r="D1781" s="4" t="str">
        <f>HYPERLINK("https://12go.asia/en/travel/hong-kong-west-kowloon/yunnan", "12Go Link")</f>
        <v>12Go Link</v>
      </c>
      <c r="E1781" s="3" t="s">
        <v>94</v>
      </c>
      <c r="K1781" s="5"/>
    </row>
    <row r="1782">
      <c r="A1782" s="3" t="s">
        <v>1372</v>
      </c>
      <c r="B1782" s="3" t="s">
        <v>1021</v>
      </c>
      <c r="C1782" s="3" t="s">
        <v>1892</v>
      </c>
      <c r="D1782" s="4" t="str">
        <f>HYPERLINK("https://12go.asia/en/travel/hong-kong-west-kowloon/zhejiang", "12Go Link")</f>
        <v>12Go Link</v>
      </c>
      <c r="E1782" s="3" t="s">
        <v>94</v>
      </c>
      <c r="K1782" s="5"/>
    </row>
    <row r="1783">
      <c r="A1783" s="3" t="s">
        <v>1893</v>
      </c>
      <c r="B1783" s="3" t="s">
        <v>1894</v>
      </c>
      <c r="C1783" s="3" t="s">
        <v>1895</v>
      </c>
      <c r="D1783" s="4" t="str">
        <f>HYPERLINK("https://12go.asia/en/travel/hetian/aksu", "12Go Link")</f>
        <v>12Go Link</v>
      </c>
      <c r="E1783" s="3" t="s">
        <v>94</v>
      </c>
      <c r="K1783" s="5"/>
    </row>
    <row r="1784">
      <c r="A1784" s="3" t="s">
        <v>1893</v>
      </c>
      <c r="B1784" s="3" t="s">
        <v>1894</v>
      </c>
      <c r="C1784" s="3" t="s">
        <v>1896</v>
      </c>
      <c r="D1784" s="4" t="str">
        <f>HYPERLINK("https://12go.asia/en/travel/hotan/aksu", "12Go Link")</f>
        <v>12Go Link</v>
      </c>
      <c r="E1784" s="3" t="s">
        <v>94</v>
      </c>
      <c r="K1784" s="5"/>
    </row>
    <row r="1785">
      <c r="A1785" s="3" t="s">
        <v>1893</v>
      </c>
      <c r="B1785" s="3" t="s">
        <v>1897</v>
      </c>
      <c r="C1785" s="3" t="s">
        <v>1898</v>
      </c>
      <c r="D1785" s="4" t="str">
        <f>HYPERLINK("https://12go.asia/en/travel/hetian/kashgar", "12Go Link")</f>
        <v>12Go Link</v>
      </c>
      <c r="E1785" s="3" t="s">
        <v>94</v>
      </c>
      <c r="K1785" s="5"/>
    </row>
    <row r="1786">
      <c r="A1786" s="3" t="s">
        <v>1893</v>
      </c>
      <c r="B1786" s="3" t="s">
        <v>1897</v>
      </c>
      <c r="C1786" s="3" t="s">
        <v>1899</v>
      </c>
      <c r="D1786" s="4" t="str">
        <f>HYPERLINK("https://12go.asia/en/travel/hotan/kashgar", "12Go Link")</f>
        <v>12Go Link</v>
      </c>
      <c r="E1786" s="3" t="s">
        <v>94</v>
      </c>
      <c r="K1786" s="5"/>
    </row>
    <row r="1787">
      <c r="A1787" s="3" t="s">
        <v>1893</v>
      </c>
      <c r="B1787" s="3" t="s">
        <v>1900</v>
      </c>
      <c r="C1787" s="3" t="s">
        <v>1901</v>
      </c>
      <c r="D1787" s="4" t="str">
        <f>HYPERLINK("https://12go.asia/en/travel/hotan/xinjiang", "12Go Link")</f>
        <v>12Go Link</v>
      </c>
      <c r="E1787" s="3" t="s">
        <v>94</v>
      </c>
      <c r="K1787" s="5"/>
    </row>
    <row r="1788">
      <c r="A1788" s="3" t="s">
        <v>1902</v>
      </c>
      <c r="B1788" s="3" t="s">
        <v>1406</v>
      </c>
      <c r="C1788" s="3" t="s">
        <v>1903</v>
      </c>
      <c r="D1788" s="4" t="str">
        <f>HYPERLINK("https://12go.asia/en/travel/huanggang-west/xiangyang-east", "12Go Link")</f>
        <v>12Go Link</v>
      </c>
      <c r="E1788" s="3" t="s">
        <v>94</v>
      </c>
      <c r="K1788" s="5"/>
    </row>
    <row r="1789">
      <c r="A1789" s="3" t="s">
        <v>1902</v>
      </c>
      <c r="B1789" s="3" t="s">
        <v>1406</v>
      </c>
      <c r="C1789" s="3" t="s">
        <v>1904</v>
      </c>
      <c r="D1789" s="4" t="str">
        <f>HYPERLINK("https://12go.asia/en/travel/huanggang/xiangyang", "12Go Link")</f>
        <v>12Go Link</v>
      </c>
      <c r="E1789" s="3" t="s">
        <v>94</v>
      </c>
      <c r="K1789" s="5"/>
    </row>
    <row r="1790">
      <c r="A1790" s="3" t="s">
        <v>1905</v>
      </c>
      <c r="B1790" s="3" t="s">
        <v>538</v>
      </c>
      <c r="C1790" s="3" t="s">
        <v>1906</v>
      </c>
      <c r="D1790" s="4" t="str">
        <f>HYPERLINK("https://12go.asia/en/travel/huangshan-north/wuyuan-jiangxi", "12Go Link")</f>
        <v>12Go Link</v>
      </c>
      <c r="E1790" s="3" t="s">
        <v>94</v>
      </c>
      <c r="K1790" s="5"/>
    </row>
    <row r="1791">
      <c r="A1791" s="3" t="s">
        <v>1905</v>
      </c>
      <c r="B1791" s="3" t="s">
        <v>538</v>
      </c>
      <c r="C1791" s="3" t="s">
        <v>1907</v>
      </c>
      <c r="D1791" s="4" t="str">
        <f>HYPERLINK("https://12go.asia/en/travel/huangshan/jiangxi", "12Go Link")</f>
        <v>12Go Link</v>
      </c>
      <c r="E1791" s="3" t="s">
        <v>94</v>
      </c>
      <c r="K1791" s="5"/>
    </row>
    <row r="1792">
      <c r="A1792" s="3" t="s">
        <v>957</v>
      </c>
      <c r="B1792" s="3" t="s">
        <v>745</v>
      </c>
      <c r="C1792" s="3" t="s">
        <v>1908</v>
      </c>
      <c r="D1792" s="4" t="str">
        <f>HYPERLINK("https://12go.asia/en/travel/huiyang-district/changsha", "12Go Link")</f>
        <v>12Go Link</v>
      </c>
      <c r="E1792" s="3" t="s">
        <v>94</v>
      </c>
      <c r="K1792" s="5"/>
    </row>
    <row r="1793">
      <c r="A1793" s="3" t="s">
        <v>957</v>
      </c>
      <c r="B1793" s="3" t="s">
        <v>745</v>
      </c>
      <c r="C1793" s="3" t="s">
        <v>1909</v>
      </c>
      <c r="D1793" s="4" t="str">
        <f>HYPERLINK("https://12go.asia/en/travel/huiyang/changsha-south", "12Go Link")</f>
        <v>12Go Link</v>
      </c>
      <c r="E1793" s="3" t="s">
        <v>94</v>
      </c>
      <c r="K1793" s="5"/>
    </row>
    <row r="1794">
      <c r="A1794" s="3" t="s">
        <v>957</v>
      </c>
      <c r="B1794" s="3" t="s">
        <v>745</v>
      </c>
      <c r="C1794" s="3" t="s">
        <v>1910</v>
      </c>
      <c r="D1794" s="4" t="str">
        <f>HYPERLINK("https://12go.asia/en/travel/huizhounan/changsha-south", "12Go Link")</f>
        <v>12Go Link</v>
      </c>
      <c r="E1794" s="3" t="s">
        <v>94</v>
      </c>
      <c r="K1794" s="5"/>
    </row>
    <row r="1795">
      <c r="A1795" s="3" t="s">
        <v>957</v>
      </c>
      <c r="B1795" s="3" t="s">
        <v>1366</v>
      </c>
      <c r="C1795" s="3" t="s">
        <v>1911</v>
      </c>
      <c r="D1795" s="4" t="str">
        <f>HYPERLINK("https://12go.asia/en/travel/huiyang-district/guangzhou", "12Go Link")</f>
        <v>12Go Link</v>
      </c>
      <c r="E1795" s="3" t="s">
        <v>94</v>
      </c>
      <c r="K1795" s="5"/>
    </row>
    <row r="1796">
      <c r="A1796" s="3" t="s">
        <v>957</v>
      </c>
      <c r="B1796" s="3" t="s">
        <v>1366</v>
      </c>
      <c r="C1796" s="3" t="s">
        <v>1912</v>
      </c>
      <c r="D1796" s="4" t="str">
        <f>HYPERLINK("https://12go.asia/en/travel/huiyang/guangzhou-east", "12Go Link")</f>
        <v>12Go Link</v>
      </c>
      <c r="E1796" s="3" t="s">
        <v>94</v>
      </c>
      <c r="K1796" s="5"/>
    </row>
    <row r="1797">
      <c r="A1797" s="3" t="s">
        <v>957</v>
      </c>
      <c r="B1797" s="3" t="s">
        <v>1366</v>
      </c>
      <c r="C1797" s="3" t="s">
        <v>1913</v>
      </c>
      <c r="D1797" s="4" t="str">
        <f>HYPERLINK("https://12go.asia/en/travel/huiyang/guangzhou-south", "12Go Link")</f>
        <v>12Go Link</v>
      </c>
      <c r="E1797" s="3" t="s">
        <v>94</v>
      </c>
      <c r="K1797" s="5"/>
    </row>
    <row r="1798">
      <c r="A1798" s="3" t="s">
        <v>957</v>
      </c>
      <c r="B1798" s="3" t="s">
        <v>1410</v>
      </c>
      <c r="C1798" s="3" t="s">
        <v>1914</v>
      </c>
      <c r="D1798" s="4" t="str">
        <f>HYPERLINK("https://12go.asia/en/travel/huiyang-district/hong-kong", "12Go Link")</f>
        <v>12Go Link</v>
      </c>
      <c r="E1798" s="3" t="s">
        <v>94</v>
      </c>
      <c r="K1798" s="5"/>
    </row>
    <row r="1799">
      <c r="A1799" s="3" t="s">
        <v>1822</v>
      </c>
      <c r="B1799" s="3" t="s">
        <v>526</v>
      </c>
      <c r="C1799" s="3" t="s">
        <v>1915</v>
      </c>
      <c r="D1799" s="4" t="str">
        <f>HYPERLINK("https://12go.asia/en/travel/huizhou/harbin", "12Go Link")</f>
        <v>12Go Link</v>
      </c>
      <c r="E1799" s="3" t="s">
        <v>94</v>
      </c>
      <c r="K1799" s="5"/>
    </row>
    <row r="1800">
      <c r="A1800" s="3" t="s">
        <v>536</v>
      </c>
      <c r="B1800" s="3" t="s">
        <v>755</v>
      </c>
      <c r="C1800" s="3" t="s">
        <v>1916</v>
      </c>
      <c r="D1800" s="4" t="str">
        <f>HYPERLINK("https://12go.asia/en/travel/yongzhou/hangzhou-east", "12Go Link")</f>
        <v>12Go Link</v>
      </c>
      <c r="E1800" s="3" t="s">
        <v>94</v>
      </c>
      <c r="K1800" s="5"/>
    </row>
    <row r="1801">
      <c r="A1801" s="3" t="s">
        <v>536</v>
      </c>
      <c r="B1801" s="3" t="s">
        <v>755</v>
      </c>
      <c r="C1801" s="3" t="s">
        <v>1917</v>
      </c>
      <c r="D1801" s="4" t="str">
        <f>HYPERLINK("https://12go.asia/en/travel/yongzhou/hangzhou-south", "12Go Link")</f>
        <v>12Go Link</v>
      </c>
      <c r="E1801" s="3" t="s">
        <v>94</v>
      </c>
      <c r="K1801" s="5"/>
    </row>
    <row r="1802">
      <c r="A1802" s="3" t="s">
        <v>536</v>
      </c>
      <c r="B1802" s="3" t="s">
        <v>755</v>
      </c>
      <c r="C1802" s="3" t="s">
        <v>1918</v>
      </c>
      <c r="D1802" s="4" t="str">
        <f>HYPERLINK("https://12go.asia/en/travel/yongzhou/hangzhou-west", "12Go Link")</f>
        <v>12Go Link</v>
      </c>
      <c r="E1802" s="3" t="s">
        <v>94</v>
      </c>
      <c r="K1802" s="5"/>
    </row>
    <row r="1803">
      <c r="A1803" s="3" t="s">
        <v>536</v>
      </c>
      <c r="B1803" s="3" t="s">
        <v>1395</v>
      </c>
      <c r="C1803" s="3" t="s">
        <v>1919</v>
      </c>
      <c r="D1803" s="4" t="str">
        <f>HYPERLINK("https://12go.asia/en/travel/yongzhou/shenzhen-north", "12Go Link")</f>
        <v>12Go Link</v>
      </c>
      <c r="E1803" s="3" t="s">
        <v>94</v>
      </c>
      <c r="K1803" s="5"/>
    </row>
    <row r="1804">
      <c r="A1804" s="3" t="s">
        <v>1920</v>
      </c>
      <c r="B1804" s="3" t="s">
        <v>1921</v>
      </c>
      <c r="C1804" s="3" t="s">
        <v>1922</v>
      </c>
      <c r="D1804" s="4" t="str">
        <f>HYPERLINK("https://12go.asia/en/travel/hunchun/anshan", "12Go Link")</f>
        <v>12Go Link</v>
      </c>
      <c r="E1804" s="3" t="s">
        <v>94</v>
      </c>
      <c r="K1804" s="5"/>
    </row>
    <row r="1805">
      <c r="A1805" s="3" t="s">
        <v>1920</v>
      </c>
      <c r="B1805" s="3" t="s">
        <v>1921</v>
      </c>
      <c r="C1805" s="3" t="s">
        <v>1923</v>
      </c>
      <c r="D1805" s="4" t="str">
        <f>HYPERLINK("https://12go.asia/en/travel/hunchun/anshan-west", "12Go Link")</f>
        <v>12Go Link</v>
      </c>
      <c r="E1805" s="3" t="s">
        <v>94</v>
      </c>
      <c r="K1805" s="5"/>
    </row>
    <row r="1806">
      <c r="A1806" s="3" t="s">
        <v>1044</v>
      </c>
      <c r="B1806" s="3" t="s">
        <v>530</v>
      </c>
      <c r="C1806" s="3" t="s">
        <v>1924</v>
      </c>
      <c r="D1806" s="4" t="str">
        <f>HYPERLINK("https://12go.asia/en/travel/inner-mongolia/hebei", "12Go Link")</f>
        <v>12Go Link</v>
      </c>
      <c r="E1806" s="3" t="s">
        <v>94</v>
      </c>
      <c r="K1806" s="5"/>
    </row>
    <row r="1807">
      <c r="A1807" s="3" t="s">
        <v>1044</v>
      </c>
      <c r="B1807" s="3" t="s">
        <v>860</v>
      </c>
      <c r="C1807" s="3" t="s">
        <v>1925</v>
      </c>
      <c r="D1807" s="4" t="str">
        <f>HYPERLINK("https://12go.asia/en/travel/xilinhaote/hohhot", "12Go Link")</f>
        <v>12Go Link</v>
      </c>
      <c r="E1807" s="3" t="s">
        <v>94</v>
      </c>
      <c r="K1807" s="5"/>
    </row>
    <row r="1808">
      <c r="A1808" s="3" t="s">
        <v>1044</v>
      </c>
      <c r="B1808" s="3" t="s">
        <v>860</v>
      </c>
      <c r="C1808" s="3" t="s">
        <v>1926</v>
      </c>
      <c r="D1808" s="4" t="str">
        <f>HYPERLINK("https://12go.asia/en/travel/xilinhaote/hohhot-east", "12Go Link")</f>
        <v>12Go Link</v>
      </c>
      <c r="E1808" s="3" t="s">
        <v>94</v>
      </c>
      <c r="K1808" s="5"/>
    </row>
    <row r="1809">
      <c r="A1809" s="3" t="s">
        <v>1044</v>
      </c>
      <c r="B1809" s="3" t="s">
        <v>878</v>
      </c>
      <c r="C1809" s="3" t="s">
        <v>1927</v>
      </c>
      <c r="D1809" s="4" t="str">
        <f>HYPERLINK("https://12go.asia/en/travel/inner-mongolia/shijiazhuang", "12Go Link")</f>
        <v>12Go Link</v>
      </c>
      <c r="E1809" s="3" t="s">
        <v>94</v>
      </c>
      <c r="K1809" s="5"/>
    </row>
    <row r="1810">
      <c r="A1810" s="3" t="s">
        <v>1928</v>
      </c>
      <c r="B1810" s="3" t="s">
        <v>1240</v>
      </c>
      <c r="C1810" s="3" t="s">
        <v>1929</v>
      </c>
      <c r="D1810" s="4" t="str">
        <f>HYPERLINK("https://12go.asia/en/travel/jiamusi/daminghu", "12Go Link")</f>
        <v>12Go Link</v>
      </c>
      <c r="E1810" s="3" t="s">
        <v>94</v>
      </c>
      <c r="K1810" s="5"/>
    </row>
    <row r="1811">
      <c r="A1811" s="3" t="s">
        <v>1928</v>
      </c>
      <c r="B1811" s="3" t="s">
        <v>1240</v>
      </c>
      <c r="C1811" s="3" t="s">
        <v>1930</v>
      </c>
      <c r="D1811" s="4" t="str">
        <f>HYPERLINK("https://12go.asia/en/travel/jiamusi/jinan", "12Go Link")</f>
        <v>12Go Link</v>
      </c>
      <c r="E1811" s="3" t="s">
        <v>94</v>
      </c>
      <c r="K1811" s="5"/>
    </row>
    <row r="1812">
      <c r="A1812" s="3" t="s">
        <v>763</v>
      </c>
      <c r="B1812" s="3" t="s">
        <v>1240</v>
      </c>
      <c r="C1812" s="3" t="s">
        <v>1931</v>
      </c>
      <c r="D1812" s="4" t="str">
        <f>HYPERLINK("https://12go.asia/en/travel/dongtai/jinan", "12Go Link")</f>
        <v>12Go Link</v>
      </c>
      <c r="E1812" s="3" t="s">
        <v>94</v>
      </c>
      <c r="K1812" s="5"/>
    </row>
    <row r="1813">
      <c r="A1813" s="3" t="s">
        <v>763</v>
      </c>
      <c r="B1813" s="3" t="s">
        <v>512</v>
      </c>
      <c r="C1813" s="3" t="s">
        <v>1932</v>
      </c>
      <c r="D1813" s="4" t="str">
        <f>HYPERLINK("https://12go.asia/en/travel/yixing/shanghai-hongqiao", "12Go Link")</f>
        <v>12Go Link</v>
      </c>
      <c r="E1813" s="3" t="s">
        <v>94</v>
      </c>
      <c r="K1813" s="5"/>
    </row>
    <row r="1814">
      <c r="A1814" s="3" t="s">
        <v>763</v>
      </c>
      <c r="B1814" s="3" t="s">
        <v>1933</v>
      </c>
      <c r="C1814" s="3" t="s">
        <v>1934</v>
      </c>
      <c r="D1814" s="4" t="str">
        <f>HYPERLINK("https://12go.asia/en/travel/jiangsu/yichang", "12Go Link")</f>
        <v>12Go Link</v>
      </c>
      <c r="E1814" s="3" t="s">
        <v>94</v>
      </c>
      <c r="K1814" s="5"/>
    </row>
    <row r="1815">
      <c r="A1815" s="3" t="s">
        <v>538</v>
      </c>
      <c r="B1815" s="3" t="s">
        <v>755</v>
      </c>
      <c r="C1815" s="3" t="s">
        <v>1935</v>
      </c>
      <c r="D1815" s="4" t="str">
        <f>HYPERLINK("https://12go.asia/en/travel/yushan-south/hangzhou-east", "12Go Link")</f>
        <v>12Go Link</v>
      </c>
      <c r="E1815" s="3" t="s">
        <v>94</v>
      </c>
      <c r="K1815" s="5"/>
    </row>
    <row r="1816">
      <c r="A1816" s="3" t="s">
        <v>538</v>
      </c>
      <c r="B1816" s="3" t="s">
        <v>755</v>
      </c>
      <c r="C1816" s="3" t="s">
        <v>1936</v>
      </c>
      <c r="D1816" s="4" t="str">
        <f>HYPERLINK("https://12go.asia/en/travel/yushan-south/hangzhou-south", "12Go Link")</f>
        <v>12Go Link</v>
      </c>
      <c r="E1816" s="3" t="s">
        <v>94</v>
      </c>
      <c r="K1816" s="5"/>
    </row>
    <row r="1817">
      <c r="A1817" s="3" t="s">
        <v>538</v>
      </c>
      <c r="B1817" s="3" t="s">
        <v>874</v>
      </c>
      <c r="C1817" s="3" t="s">
        <v>1937</v>
      </c>
      <c r="D1817" s="4" t="str">
        <f>HYPERLINK("https://12go.asia/en/travel/yushan-jiangxi/nanchang", "12Go Link")</f>
        <v>12Go Link</v>
      </c>
      <c r="E1817" s="3" t="s">
        <v>94</v>
      </c>
      <c r="K1817" s="5"/>
    </row>
    <row r="1818">
      <c r="A1818" s="3" t="s">
        <v>538</v>
      </c>
      <c r="B1818" s="3" t="s">
        <v>816</v>
      </c>
      <c r="C1818" s="3" t="s">
        <v>1938</v>
      </c>
      <c r="D1818" s="4" t="str">
        <f>HYPERLINK("https://12go.asia/en/travel/jiangxi/yiwu", "12Go Link")</f>
        <v>12Go Link</v>
      </c>
      <c r="E1818" s="3" t="s">
        <v>94</v>
      </c>
      <c r="K1818" s="5"/>
    </row>
    <row r="1819">
      <c r="A1819" s="3" t="s">
        <v>1157</v>
      </c>
      <c r="B1819" s="3" t="s">
        <v>1333</v>
      </c>
      <c r="C1819" s="3" t="s">
        <v>1939</v>
      </c>
      <c r="D1819" s="4" t="str">
        <f>HYPERLINK("https://12go.asia/en/travel/jiaxing-south/chongqing-north", "12Go Link")</f>
        <v>12Go Link</v>
      </c>
      <c r="E1819" s="3" t="s">
        <v>94</v>
      </c>
      <c r="K1819" s="5"/>
    </row>
    <row r="1820">
      <c r="A1820" s="3" t="s">
        <v>1157</v>
      </c>
      <c r="B1820" s="3" t="s">
        <v>1333</v>
      </c>
      <c r="C1820" s="3" t="s">
        <v>1940</v>
      </c>
      <c r="D1820" s="4" t="str">
        <f>HYPERLINK("https://12go.asia/en/travel/jiaxing-south/chongqing-west", "12Go Link")</f>
        <v>12Go Link</v>
      </c>
      <c r="E1820" s="3" t="s">
        <v>94</v>
      </c>
      <c r="K1820" s="5"/>
    </row>
    <row r="1821">
      <c r="A1821" s="3" t="s">
        <v>1157</v>
      </c>
      <c r="B1821" s="3" t="s">
        <v>1333</v>
      </c>
      <c r="C1821" s="3" t="s">
        <v>1941</v>
      </c>
      <c r="D1821" s="4" t="str">
        <f>HYPERLINK("https://12go.asia/en/travel/jiaxing/chongqing-north", "12Go Link")</f>
        <v>12Go Link</v>
      </c>
      <c r="E1821" s="3" t="s">
        <v>94</v>
      </c>
      <c r="K1821" s="5"/>
    </row>
    <row r="1822">
      <c r="A1822" s="3" t="s">
        <v>1157</v>
      </c>
      <c r="B1822" s="3" t="s">
        <v>793</v>
      </c>
      <c r="C1822" s="3" t="s">
        <v>1942</v>
      </c>
      <c r="D1822" s="4" t="str">
        <f>HYPERLINK("https://12go.asia/en/travel/jiaxing-south/wenzhou-south", "12Go Link")</f>
        <v>12Go Link</v>
      </c>
      <c r="E1822" s="3" t="s">
        <v>94</v>
      </c>
      <c r="K1822" s="5"/>
    </row>
    <row r="1823">
      <c r="A1823" s="3" t="s">
        <v>1157</v>
      </c>
      <c r="B1823" s="3" t="s">
        <v>793</v>
      </c>
      <c r="C1823" s="3" t="s">
        <v>1943</v>
      </c>
      <c r="D1823" s="4" t="str">
        <f>HYPERLINK("https://12go.asia/en/travel/jiaxing/wenzhou", "12Go Link")</f>
        <v>12Go Link</v>
      </c>
      <c r="E1823" s="3" t="s">
        <v>94</v>
      </c>
      <c r="K1823" s="5"/>
    </row>
    <row r="1824">
      <c r="A1824" s="3" t="s">
        <v>1944</v>
      </c>
      <c r="B1824" s="3" t="s">
        <v>593</v>
      </c>
      <c r="C1824" s="3" t="s">
        <v>1945</v>
      </c>
      <c r="D1824" s="4" t="str">
        <f>HYPERLINK("https://12go.asia/en/travel/jiayuguan-south/beijing-west", "12Go Link")</f>
        <v>12Go Link</v>
      </c>
      <c r="E1824" s="3" t="s">
        <v>94</v>
      </c>
      <c r="K1824" s="5"/>
    </row>
    <row r="1825">
      <c r="A1825" s="3" t="s">
        <v>1944</v>
      </c>
      <c r="B1825" s="3" t="s">
        <v>593</v>
      </c>
      <c r="C1825" s="3" t="s">
        <v>1946</v>
      </c>
      <c r="D1825" s="4" t="str">
        <f>HYPERLINK("https://12go.asia/en/travel/yumen/beijing-west", "12Go Link")</f>
        <v>12Go Link</v>
      </c>
      <c r="E1825" s="3" t="s">
        <v>94</v>
      </c>
      <c r="K1825" s="5"/>
    </row>
    <row r="1826">
      <c r="A1826" s="3" t="s">
        <v>1944</v>
      </c>
      <c r="B1826" s="3" t="s">
        <v>841</v>
      </c>
      <c r="C1826" s="3" t="s">
        <v>1947</v>
      </c>
      <c r="D1826" s="4" t="str">
        <f>HYPERLINK("https://12go.asia/en/travel/jiayuguan-city/chengdu", "12Go Link")</f>
        <v>12Go Link</v>
      </c>
      <c r="E1826" s="3" t="s">
        <v>94</v>
      </c>
      <c r="K1826" s="5"/>
    </row>
    <row r="1827">
      <c r="A1827" s="3" t="s">
        <v>1944</v>
      </c>
      <c r="B1827" s="3" t="s">
        <v>841</v>
      </c>
      <c r="C1827" s="3" t="s">
        <v>1948</v>
      </c>
      <c r="D1827" s="4" t="str">
        <f>HYPERLINK("https://12go.asia/en/travel/jiayuguan-south/chengdu-west", "12Go Link")</f>
        <v>12Go Link</v>
      </c>
      <c r="E1827" s="3" t="s">
        <v>94</v>
      </c>
      <c r="K1827" s="5"/>
    </row>
    <row r="1828">
      <c r="A1828" s="3" t="s">
        <v>1944</v>
      </c>
      <c r="B1828" s="3" t="s">
        <v>841</v>
      </c>
      <c r="C1828" s="3" t="s">
        <v>1949</v>
      </c>
      <c r="D1828" s="4" t="str">
        <f>HYPERLINK("https://12go.asia/en/travel/jiayuguan/chengdu-west", "12Go Link")</f>
        <v>12Go Link</v>
      </c>
      <c r="E1828" s="3" t="s">
        <v>94</v>
      </c>
      <c r="K1828" s="5"/>
    </row>
    <row r="1829">
      <c r="A1829" s="3" t="s">
        <v>1944</v>
      </c>
      <c r="B1829" s="3" t="s">
        <v>796</v>
      </c>
      <c r="C1829" s="3" t="s">
        <v>1950</v>
      </c>
      <c r="D1829" s="4" t="str">
        <f>HYPERLINK("https://12go.asia/en/travel/jiayuguan-city/wuhan", "12Go Link")</f>
        <v>12Go Link</v>
      </c>
      <c r="E1829" s="3" t="s">
        <v>94</v>
      </c>
      <c r="K1829" s="5"/>
    </row>
    <row r="1830">
      <c r="A1830" s="3" t="s">
        <v>1944</v>
      </c>
      <c r="B1830" s="3" t="s">
        <v>796</v>
      </c>
      <c r="C1830" s="3" t="s">
        <v>1951</v>
      </c>
      <c r="D1830" s="4" t="str">
        <f>HYPERLINK("https://12go.asia/en/travel/jiayuguan-south/wuchang", "12Go Link")</f>
        <v>12Go Link</v>
      </c>
      <c r="E1830" s="3" t="s">
        <v>94</v>
      </c>
      <c r="K1830" s="5"/>
    </row>
    <row r="1831">
      <c r="A1831" s="3" t="s">
        <v>1944</v>
      </c>
      <c r="B1831" s="3" t="s">
        <v>796</v>
      </c>
      <c r="C1831" s="3" t="s">
        <v>1952</v>
      </c>
      <c r="D1831" s="4" t="str">
        <f>HYPERLINK("https://12go.asia/en/travel/jiayuguan/wuchang", "12Go Link")</f>
        <v>12Go Link</v>
      </c>
      <c r="E1831" s="3" t="s">
        <v>94</v>
      </c>
      <c r="K1831" s="5"/>
    </row>
    <row r="1832">
      <c r="A1832" s="3" t="s">
        <v>1953</v>
      </c>
      <c r="B1832" s="3" t="s">
        <v>700</v>
      </c>
      <c r="C1832" s="3" t="s">
        <v>1954</v>
      </c>
      <c r="D1832" s="4" t="str">
        <f>HYPERLINK("https://12go.asia/en/travel/jiexiu-east/taiyuan-shanxi", "12Go Link")</f>
        <v>12Go Link</v>
      </c>
      <c r="E1832" s="3" t="s">
        <v>94</v>
      </c>
      <c r="K1832" s="5"/>
    </row>
    <row r="1833">
      <c r="A1833" s="3" t="s">
        <v>1953</v>
      </c>
      <c r="B1833" s="3" t="s">
        <v>700</v>
      </c>
      <c r="C1833" s="3" t="s">
        <v>1955</v>
      </c>
      <c r="D1833" s="4" t="str">
        <f>HYPERLINK("https://12go.asia/en/travel/jiexiu-east/taiyuan-south", "12Go Link")</f>
        <v>12Go Link</v>
      </c>
      <c r="E1833" s="3" t="s">
        <v>94</v>
      </c>
      <c r="K1833" s="5"/>
    </row>
    <row r="1834">
      <c r="A1834" s="3" t="s">
        <v>1953</v>
      </c>
      <c r="B1834" s="3" t="s">
        <v>700</v>
      </c>
      <c r="C1834" s="3" t="s">
        <v>1956</v>
      </c>
      <c r="D1834" s="4" t="str">
        <f>HYPERLINK("https://12go.asia/en/travel/jiexiu/taiyuan", "12Go Link")</f>
        <v>12Go Link</v>
      </c>
      <c r="E1834" s="3" t="s">
        <v>94</v>
      </c>
      <c r="K1834" s="5"/>
    </row>
    <row r="1835">
      <c r="A1835" s="3" t="s">
        <v>1953</v>
      </c>
      <c r="B1835" s="3" t="s">
        <v>700</v>
      </c>
      <c r="C1835" s="3" t="s">
        <v>1957</v>
      </c>
      <c r="D1835" s="4" t="str">
        <f>HYPERLINK("https://12go.asia/en/travel/jiexiu/taiyuan-shanxi", "12Go Link")</f>
        <v>12Go Link</v>
      </c>
      <c r="E1835" s="3" t="s">
        <v>94</v>
      </c>
      <c r="K1835" s="5"/>
    </row>
    <row r="1836">
      <c r="A1836" s="3" t="s">
        <v>1958</v>
      </c>
      <c r="B1836" s="3" t="s">
        <v>526</v>
      </c>
      <c r="C1836" s="3" t="s">
        <v>1959</v>
      </c>
      <c r="D1836" s="4" t="str">
        <f>HYPERLINK("https://12go.asia/en/travel/changbaishan/harbin-north", "12Go Link")</f>
        <v>12Go Link</v>
      </c>
      <c r="E1836" s="3" t="s">
        <v>94</v>
      </c>
      <c r="K1836" s="5"/>
    </row>
    <row r="1837">
      <c r="A1837" s="3" t="s">
        <v>1958</v>
      </c>
      <c r="B1837" s="3" t="s">
        <v>526</v>
      </c>
      <c r="C1837" s="3" t="s">
        <v>1960</v>
      </c>
      <c r="D1837" s="4" t="str">
        <f>HYPERLINK("https://12go.asia/en/travel/changbaishan/harbin-west", "12Go Link")</f>
        <v>12Go Link</v>
      </c>
      <c r="E1837" s="3" t="s">
        <v>94</v>
      </c>
      <c r="K1837" s="5"/>
    </row>
    <row r="1838">
      <c r="A1838" s="3" t="s">
        <v>1958</v>
      </c>
      <c r="B1838" s="3" t="s">
        <v>1467</v>
      </c>
      <c r="C1838" s="3" t="s">
        <v>1961</v>
      </c>
      <c r="D1838" s="4" t="str">
        <f>HYPERLINK("https://12go.asia/en/travel/jilin/qingdao", "12Go Link")</f>
        <v>12Go Link</v>
      </c>
      <c r="E1838" s="3" t="s">
        <v>94</v>
      </c>
      <c r="K1838" s="5"/>
    </row>
    <row r="1839">
      <c r="A1839" s="3" t="s">
        <v>1958</v>
      </c>
      <c r="B1839" s="3" t="s">
        <v>1467</v>
      </c>
      <c r="C1839" s="3" t="s">
        <v>1962</v>
      </c>
      <c r="D1839" s="4" t="str">
        <f>HYPERLINK("https://12go.asia/en/travel/jilin/qingdao-north", "12Go Link")</f>
        <v>12Go Link</v>
      </c>
      <c r="E1839" s="3" t="s">
        <v>94</v>
      </c>
      <c r="K1839" s="5"/>
    </row>
    <row r="1840">
      <c r="A1840" s="3" t="s">
        <v>1240</v>
      </c>
      <c r="B1840" s="3" t="s">
        <v>831</v>
      </c>
      <c r="C1840" s="3" t="s">
        <v>1963</v>
      </c>
      <c r="D1840" s="4" t="str">
        <f>HYPERLINK("https://12go.asia/en/travel/jinan-west/changzhou-north", "12Go Link")</f>
        <v>12Go Link</v>
      </c>
      <c r="E1840" s="3" t="s">
        <v>94</v>
      </c>
      <c r="K1840" s="5"/>
    </row>
    <row r="1841">
      <c r="A1841" s="3" t="s">
        <v>1240</v>
      </c>
      <c r="B1841" s="3" t="s">
        <v>755</v>
      </c>
      <c r="C1841" s="3" t="s">
        <v>1964</v>
      </c>
      <c r="D1841" s="4" t="str">
        <f>HYPERLINK("https://12go.asia/en/travel/jinan/hangzhou-west", "12Go Link")</f>
        <v>12Go Link</v>
      </c>
      <c r="E1841" s="3" t="s">
        <v>94</v>
      </c>
      <c r="K1841" s="5"/>
    </row>
    <row r="1842">
      <c r="A1842" s="3" t="s">
        <v>1240</v>
      </c>
      <c r="B1842" s="3" t="s">
        <v>1467</v>
      </c>
      <c r="C1842" s="3" t="s">
        <v>1965</v>
      </c>
      <c r="D1842" s="4" t="str">
        <f>HYPERLINK("https://12go.asia/en/travel/jinan-east/hongdao", "12Go Link")</f>
        <v>12Go Link</v>
      </c>
      <c r="E1842" s="3" t="s">
        <v>94</v>
      </c>
      <c r="K1842" s="5"/>
    </row>
    <row r="1843">
      <c r="A1843" s="3" t="s">
        <v>1240</v>
      </c>
      <c r="B1843" s="3" t="s">
        <v>1256</v>
      </c>
      <c r="C1843" s="3" t="s">
        <v>1966</v>
      </c>
      <c r="D1843" s="4" t="str">
        <f>HYPERLINK("https://12go.asia/en/travel/jinan/suzhou-north", "12Go Link")</f>
        <v>12Go Link</v>
      </c>
      <c r="E1843" s="3" t="s">
        <v>94</v>
      </c>
      <c r="K1843" s="5"/>
    </row>
    <row r="1844">
      <c r="A1844" s="3" t="s">
        <v>1967</v>
      </c>
      <c r="B1844" s="3" t="s">
        <v>512</v>
      </c>
      <c r="C1844" s="3" t="s">
        <v>1968</v>
      </c>
      <c r="D1844" s="4" t="str">
        <f>HYPERLINK("https://12go.asia/en/travel/jincheng/shanghai", "12Go Link")</f>
        <v>12Go Link</v>
      </c>
      <c r="E1844" s="3" t="s">
        <v>94</v>
      </c>
      <c r="K1844" s="5"/>
    </row>
    <row r="1845">
      <c r="A1845" s="3" t="s">
        <v>1583</v>
      </c>
      <c r="B1845" s="3" t="s">
        <v>766</v>
      </c>
      <c r="C1845" s="3" t="s">
        <v>1969</v>
      </c>
      <c r="D1845" s="4" t="str">
        <f>HYPERLINK("https://12go.asia/en/travel/jingdezhen-north/jinhua", "12Go Link")</f>
        <v>12Go Link</v>
      </c>
      <c r="E1845" s="3" t="s">
        <v>94</v>
      </c>
      <c r="K1845" s="5"/>
    </row>
    <row r="1846">
      <c r="A1846" s="3" t="s">
        <v>1583</v>
      </c>
      <c r="B1846" s="3" t="s">
        <v>766</v>
      </c>
      <c r="C1846" s="3" t="s">
        <v>1970</v>
      </c>
      <c r="D1846" s="4" t="str">
        <f>HYPERLINK("https://12go.asia/en/travel/jingdezhen/jinhua", "12Go Link")</f>
        <v>12Go Link</v>
      </c>
      <c r="E1846" s="3" t="s">
        <v>94</v>
      </c>
      <c r="K1846" s="5"/>
    </row>
    <row r="1847">
      <c r="A1847" s="3" t="s">
        <v>1583</v>
      </c>
      <c r="B1847" s="3" t="s">
        <v>1220</v>
      </c>
      <c r="C1847" s="3" t="s">
        <v>1971</v>
      </c>
      <c r="D1847" s="4" t="str">
        <f>HYPERLINK("https://12go.asia/en/travel/jingdezhen-north/quanzhou-east", "12Go Link")</f>
        <v>12Go Link</v>
      </c>
      <c r="E1847" s="3" t="s">
        <v>94</v>
      </c>
      <c r="K1847" s="5"/>
    </row>
    <row r="1848">
      <c r="A1848" s="3" t="s">
        <v>1583</v>
      </c>
      <c r="B1848" s="3" t="s">
        <v>1220</v>
      </c>
      <c r="C1848" s="3" t="s">
        <v>1972</v>
      </c>
      <c r="D1848" s="4" t="str">
        <f>HYPERLINK("https://12go.asia/en/travel/jingdezhen/quanzhou", "12Go Link")</f>
        <v>12Go Link</v>
      </c>
      <c r="E1848" s="3" t="s">
        <v>94</v>
      </c>
      <c r="K1848" s="5"/>
    </row>
    <row r="1849">
      <c r="A1849" s="3" t="s">
        <v>766</v>
      </c>
      <c r="B1849" s="3" t="s">
        <v>1529</v>
      </c>
      <c r="C1849" s="3" t="s">
        <v>1973</v>
      </c>
      <c r="D1849" s="4" t="str">
        <f>HYPERLINK("https://12go.asia/en/travel/jinhua/kunming", "12Go Link")</f>
        <v>12Go Link</v>
      </c>
      <c r="E1849" s="3" t="s">
        <v>94</v>
      </c>
      <c r="K1849" s="5"/>
    </row>
    <row r="1850">
      <c r="A1850" s="3" t="s">
        <v>766</v>
      </c>
      <c r="B1850" s="3" t="s">
        <v>1529</v>
      </c>
      <c r="C1850" s="3" t="s">
        <v>1974</v>
      </c>
      <c r="D1850" s="4" t="str">
        <f>HYPERLINK("https://12go.asia/en/travel/jinhua/kunming-south", "12Go Link")</f>
        <v>12Go Link</v>
      </c>
      <c r="E1850" s="3" t="s">
        <v>94</v>
      </c>
      <c r="K1850" s="5"/>
    </row>
    <row r="1851">
      <c r="A1851" s="3" t="s">
        <v>766</v>
      </c>
      <c r="B1851" s="3" t="s">
        <v>790</v>
      </c>
      <c r="C1851" s="3" t="s">
        <v>1975</v>
      </c>
      <c r="D1851" s="4" t="str">
        <f>HYPERLINK("https://12go.asia/en/travel/jinhua/dayu", "12Go Link")</f>
        <v>12Go Link</v>
      </c>
      <c r="E1851" s="3" t="s">
        <v>94</v>
      </c>
      <c r="K1851" s="5"/>
    </row>
    <row r="1852">
      <c r="A1852" s="3" t="s">
        <v>766</v>
      </c>
      <c r="B1852" s="3" t="s">
        <v>790</v>
      </c>
      <c r="C1852" s="3" t="s">
        <v>1976</v>
      </c>
      <c r="D1852" s="4" t="str">
        <f>HYPERLINK("https://12go.asia/en/travel/jinhua/weifang", "12Go Link")</f>
        <v>12Go Link</v>
      </c>
      <c r="E1852" s="3" t="s">
        <v>94</v>
      </c>
      <c r="K1852" s="5"/>
    </row>
    <row r="1853">
      <c r="A1853" s="3" t="s">
        <v>766</v>
      </c>
      <c r="B1853" s="3" t="s">
        <v>1977</v>
      </c>
      <c r="C1853" s="3" t="s">
        <v>1978</v>
      </c>
      <c r="D1853" s="4" t="str">
        <f>HYPERLINK("https://12go.asia/en/travel/jinhua/xinyu", "12Go Link")</f>
        <v>12Go Link</v>
      </c>
      <c r="E1853" s="3" t="s">
        <v>94</v>
      </c>
      <c r="K1853" s="5"/>
    </row>
    <row r="1854">
      <c r="A1854" s="3" t="s">
        <v>766</v>
      </c>
      <c r="B1854" s="3" t="s">
        <v>809</v>
      </c>
      <c r="C1854" s="3" t="s">
        <v>1979</v>
      </c>
      <c r="D1854" s="4" t="str">
        <f>HYPERLINK("https://12go.asia/en/travel/jinhua-south/xuchang-east", "12Go Link")</f>
        <v>12Go Link</v>
      </c>
      <c r="E1854" s="3" t="s">
        <v>94</v>
      </c>
      <c r="K1854" s="5"/>
    </row>
    <row r="1855">
      <c r="A1855" s="3" t="s">
        <v>766</v>
      </c>
      <c r="B1855" s="3" t="s">
        <v>809</v>
      </c>
      <c r="C1855" s="3" t="s">
        <v>1980</v>
      </c>
      <c r="D1855" s="4" t="str">
        <f>HYPERLINK("https://12go.asia/en/travel/jinhua/xuchang", "12Go Link")</f>
        <v>12Go Link</v>
      </c>
      <c r="E1855" s="3" t="s">
        <v>94</v>
      </c>
      <c r="K1855" s="5"/>
    </row>
    <row r="1856">
      <c r="A1856" s="3" t="s">
        <v>766</v>
      </c>
      <c r="B1856" s="3" t="s">
        <v>809</v>
      </c>
      <c r="C1856" s="3" t="s">
        <v>1981</v>
      </c>
      <c r="D1856" s="4" t="str">
        <f>HYPERLINK("https://12go.asia/en/travel/jinhua/xuchang-east", "12Go Link")</f>
        <v>12Go Link</v>
      </c>
      <c r="E1856" s="3" t="s">
        <v>94</v>
      </c>
      <c r="K1856" s="5"/>
    </row>
    <row r="1857">
      <c r="A1857" s="3" t="s">
        <v>766</v>
      </c>
      <c r="B1857" s="3" t="s">
        <v>1982</v>
      </c>
      <c r="C1857" s="3" t="s">
        <v>1983</v>
      </c>
      <c r="D1857" s="4" t="str">
        <f>HYPERLINK("https://12go.asia/en/travel/jinhua/yibin", "12Go Link")</f>
        <v>12Go Link</v>
      </c>
      <c r="E1857" s="3" t="s">
        <v>94</v>
      </c>
      <c r="K1857" s="5"/>
    </row>
    <row r="1858">
      <c r="A1858" s="3" t="s">
        <v>766</v>
      </c>
      <c r="B1858" s="3" t="s">
        <v>1982</v>
      </c>
      <c r="C1858" s="3" t="s">
        <v>1984</v>
      </c>
      <c r="D1858" s="4" t="str">
        <f>HYPERLINK("https://12go.asia/en/travel/jinhua/yibin-west", "12Go Link")</f>
        <v>12Go Link</v>
      </c>
      <c r="E1858" s="3" t="s">
        <v>94</v>
      </c>
      <c r="K1858" s="5"/>
    </row>
    <row r="1859">
      <c r="A1859" s="3" t="s">
        <v>766</v>
      </c>
      <c r="B1859" s="3" t="s">
        <v>1540</v>
      </c>
      <c r="C1859" s="3" t="s">
        <v>1985</v>
      </c>
      <c r="D1859" s="4" t="str">
        <f>HYPERLINK("https://12go.asia/en/travel/jinhua/yunnan", "12Go Link")</f>
        <v>12Go Link</v>
      </c>
      <c r="E1859" s="3" t="s">
        <v>94</v>
      </c>
      <c r="K1859" s="5"/>
    </row>
    <row r="1860">
      <c r="A1860" s="3" t="s">
        <v>1662</v>
      </c>
      <c r="B1860" s="3" t="s">
        <v>1364</v>
      </c>
      <c r="C1860" s="3" t="s">
        <v>1986</v>
      </c>
      <c r="D1860" s="4" t="str">
        <f>HYPERLINK("https://12go.asia/en/travel/jining/guangdong", "12Go Link")</f>
        <v>12Go Link</v>
      </c>
      <c r="E1860" s="3" t="s">
        <v>94</v>
      </c>
      <c r="K1860" s="5"/>
    </row>
    <row r="1861">
      <c r="A1861" s="3" t="s">
        <v>1662</v>
      </c>
      <c r="B1861" s="3" t="s">
        <v>1534</v>
      </c>
      <c r="C1861" s="3" t="s">
        <v>1987</v>
      </c>
      <c r="D1861" s="4" t="str">
        <f>HYPERLINK("https://12go.asia/en/travel/jining/nanning", "12Go Link")</f>
        <v>12Go Link</v>
      </c>
      <c r="E1861" s="3" t="s">
        <v>94</v>
      </c>
      <c r="K1861" s="5"/>
    </row>
    <row r="1862">
      <c r="A1862" s="3" t="s">
        <v>1662</v>
      </c>
      <c r="B1862" s="3" t="s">
        <v>1252</v>
      </c>
      <c r="C1862" s="3" t="s">
        <v>1988</v>
      </c>
      <c r="D1862" s="4" t="str">
        <f>HYPERLINK("https://12go.asia/en/travel/tengzhou-east/qufu-east", "12Go Link")</f>
        <v>12Go Link</v>
      </c>
      <c r="E1862" s="3" t="s">
        <v>94</v>
      </c>
      <c r="K1862" s="5"/>
    </row>
    <row r="1863">
      <c r="A1863" s="3" t="s">
        <v>1051</v>
      </c>
      <c r="B1863" s="3" t="s">
        <v>1989</v>
      </c>
      <c r="C1863" s="3" t="s">
        <v>1990</v>
      </c>
      <c r="D1863" s="4" t="str">
        <f>HYPERLINK("https://12go.asia/en/travel/jiujiang/liuzhou", "12Go Link")</f>
        <v>12Go Link</v>
      </c>
      <c r="E1863" s="3" t="s">
        <v>94</v>
      </c>
      <c r="K1863" s="5"/>
    </row>
    <row r="1864">
      <c r="A1864" s="3" t="s">
        <v>1991</v>
      </c>
      <c r="B1864" s="3" t="s">
        <v>604</v>
      </c>
      <c r="C1864" s="3" t="s">
        <v>1992</v>
      </c>
      <c r="D1864" s="4" t="str">
        <f>HYPERLINK("https://12go.asia/en/travel/jixi/daqing", "12Go Link")</f>
        <v>12Go Link</v>
      </c>
      <c r="E1864" s="3" t="s">
        <v>94</v>
      </c>
      <c r="K1864" s="5"/>
    </row>
    <row r="1865">
      <c r="A1865" s="3" t="s">
        <v>1991</v>
      </c>
      <c r="B1865" s="3" t="s">
        <v>604</v>
      </c>
      <c r="C1865" s="3" t="s">
        <v>1993</v>
      </c>
      <c r="D1865" s="4" t="str">
        <f>HYPERLINK("https://12go.asia/en/travel/jixi/daqing-east", "12Go Link")</f>
        <v>12Go Link</v>
      </c>
      <c r="E1865" s="3" t="s">
        <v>94</v>
      </c>
      <c r="K1865" s="5"/>
    </row>
    <row r="1866">
      <c r="A1866" s="3" t="s">
        <v>1994</v>
      </c>
      <c r="B1866" s="3" t="s">
        <v>1995</v>
      </c>
      <c r="C1866" s="3" t="s">
        <v>1996</v>
      </c>
      <c r="D1866" s="4" t="str">
        <f>HYPERLINK("https://12go.asia/en/travel/karamay/urumqi-south", "12Go Link")</f>
        <v>12Go Link</v>
      </c>
      <c r="E1866" s="3" t="s">
        <v>94</v>
      </c>
      <c r="K1866" s="5"/>
    </row>
    <row r="1867">
      <c r="A1867" s="3" t="s">
        <v>1994</v>
      </c>
      <c r="B1867" s="3" t="s">
        <v>1900</v>
      </c>
      <c r="C1867" s="3" t="s">
        <v>1997</v>
      </c>
      <c r="D1867" s="4" t="str">
        <f>HYPERLINK("https://12go.asia/en/travel/karamay/xinjiang", "12Go Link")</f>
        <v>12Go Link</v>
      </c>
      <c r="E1867" s="3" t="s">
        <v>94</v>
      </c>
      <c r="K1867" s="5"/>
    </row>
    <row r="1868">
      <c r="A1868" s="3" t="s">
        <v>1529</v>
      </c>
      <c r="B1868" s="3" t="s">
        <v>851</v>
      </c>
      <c r="C1868" s="3" t="s">
        <v>1998</v>
      </c>
      <c r="D1868" s="4" t="str">
        <f>HYPERLINK("https://12go.asia/en/travel/kunming-south/guigang", "12Go Link")</f>
        <v>12Go Link</v>
      </c>
      <c r="E1868" s="3" t="s">
        <v>94</v>
      </c>
      <c r="K1868" s="5"/>
    </row>
    <row r="1869">
      <c r="A1869" s="3" t="s">
        <v>1529</v>
      </c>
      <c r="B1869" s="3" t="s">
        <v>851</v>
      </c>
      <c r="C1869" s="3" t="s">
        <v>1999</v>
      </c>
      <c r="D1869" s="4" t="str">
        <f>HYPERLINK("https://12go.asia/en/travel/kunming/guigang", "12Go Link")</f>
        <v>12Go Link</v>
      </c>
      <c r="E1869" s="3" t="s">
        <v>94</v>
      </c>
      <c r="K1869" s="5"/>
    </row>
    <row r="1870">
      <c r="A1870" s="3" t="s">
        <v>1529</v>
      </c>
      <c r="B1870" s="3" t="s">
        <v>755</v>
      </c>
      <c r="C1870" s="3" t="s">
        <v>2000</v>
      </c>
      <c r="D1870" s="4" t="str">
        <f>HYPERLINK("https://12go.asia/en/travel/kunming-south/hangzhou-west", "12Go Link")</f>
        <v>12Go Link</v>
      </c>
      <c r="E1870" s="3" t="s">
        <v>94</v>
      </c>
      <c r="K1870" s="5"/>
    </row>
    <row r="1871">
      <c r="A1871" s="3" t="s">
        <v>2001</v>
      </c>
      <c r="B1871" s="3" t="s">
        <v>1713</v>
      </c>
      <c r="C1871" s="3" t="s">
        <v>2002</v>
      </c>
      <c r="D1871" s="4" t="str">
        <f>HYPERLINK("https://12go.asia/en/travel/kunshan-south/guiyang-north", "12Go Link")</f>
        <v>12Go Link</v>
      </c>
      <c r="E1871" s="3" t="s">
        <v>94</v>
      </c>
      <c r="K1871" s="5"/>
    </row>
    <row r="1872">
      <c r="A1872" s="3" t="s">
        <v>2001</v>
      </c>
      <c r="B1872" s="3" t="s">
        <v>1713</v>
      </c>
      <c r="C1872" s="3" t="s">
        <v>2003</v>
      </c>
      <c r="D1872" s="4" t="str">
        <f>HYPERLINK("https://12go.asia/en/travel/kunshan/guiyang", "12Go Link")</f>
        <v>12Go Link</v>
      </c>
      <c r="E1872" s="3" t="s">
        <v>94</v>
      </c>
      <c r="K1872" s="5"/>
    </row>
    <row r="1873">
      <c r="A1873" s="3" t="s">
        <v>2004</v>
      </c>
      <c r="B1873" s="3" t="s">
        <v>2005</v>
      </c>
      <c r="C1873" s="3" t="s">
        <v>2006</v>
      </c>
      <c r="D1873" s="4" t="str">
        <f>HYPERLINK("https://12go.asia/en/travel/kuytun/bole", "12Go Link")</f>
        <v>12Go Link</v>
      </c>
      <c r="E1873" s="3" t="s">
        <v>94</v>
      </c>
      <c r="K1873" s="5"/>
    </row>
    <row r="1874">
      <c r="A1874" s="3" t="s">
        <v>2004</v>
      </c>
      <c r="B1874" s="3" t="s">
        <v>1900</v>
      </c>
      <c r="C1874" s="3" t="s">
        <v>2007</v>
      </c>
      <c r="D1874" s="4" t="str">
        <f>HYPERLINK("https://12go.asia/en/travel/kuytun/xinjiang", "12Go Link")</f>
        <v>12Go Link</v>
      </c>
      <c r="E1874" s="3" t="s">
        <v>94</v>
      </c>
      <c r="K1874" s="5"/>
    </row>
    <row r="1875">
      <c r="A1875" s="3" t="s">
        <v>2008</v>
      </c>
      <c r="B1875" s="3" t="s">
        <v>997</v>
      </c>
      <c r="C1875" s="3" t="s">
        <v>2009</v>
      </c>
      <c r="D1875" s="4" t="str">
        <f>HYPERLINK("https://12go.asia/en/travel/langfang/taian-shandong", "12Go Link")</f>
        <v>12Go Link</v>
      </c>
      <c r="E1875" s="3" t="s">
        <v>94</v>
      </c>
      <c r="K1875" s="5"/>
    </row>
    <row r="1876">
      <c r="A1876" s="3" t="s">
        <v>544</v>
      </c>
      <c r="B1876" s="3" t="s">
        <v>587</v>
      </c>
      <c r="C1876" s="3" t="s">
        <v>2010</v>
      </c>
      <c r="D1876" s="4" t="str">
        <f>HYPERLINK("https://12go.asia/en/travel/lanzhou-west/baoding-east", "12Go Link")</f>
        <v>12Go Link</v>
      </c>
      <c r="E1876" s="3" t="s">
        <v>94</v>
      </c>
      <c r="K1876" s="5"/>
    </row>
    <row r="1877">
      <c r="A1877" s="3" t="s">
        <v>544</v>
      </c>
      <c r="B1877" s="3" t="s">
        <v>587</v>
      </c>
      <c r="C1877" s="3" t="s">
        <v>2011</v>
      </c>
      <c r="D1877" s="4" t="str">
        <f>HYPERLINK("https://12go.asia/en/travel/lanzhou/baoding", "12Go Link")</f>
        <v>12Go Link</v>
      </c>
      <c r="E1877" s="3" t="s">
        <v>94</v>
      </c>
      <c r="K1877" s="5"/>
    </row>
    <row r="1878">
      <c r="A1878" s="3" t="s">
        <v>544</v>
      </c>
      <c r="B1878" s="3" t="s">
        <v>831</v>
      </c>
      <c r="C1878" s="3" t="s">
        <v>2012</v>
      </c>
      <c r="D1878" s="4" t="str">
        <f>HYPERLINK("https://12go.asia/en/travel/lanzhou-west/changzhou", "12Go Link")</f>
        <v>12Go Link</v>
      </c>
      <c r="E1878" s="3" t="s">
        <v>94</v>
      </c>
      <c r="K1878" s="5"/>
    </row>
    <row r="1879">
      <c r="A1879" s="3" t="s">
        <v>544</v>
      </c>
      <c r="B1879" s="3" t="s">
        <v>831</v>
      </c>
      <c r="C1879" s="3" t="s">
        <v>2013</v>
      </c>
      <c r="D1879" s="4" t="str">
        <f>HYPERLINK("https://12go.asia/en/travel/lanzhou-west/changzhou-north", "12Go Link")</f>
        <v>12Go Link</v>
      </c>
      <c r="E1879" s="3" t="s">
        <v>94</v>
      </c>
      <c r="K1879" s="5"/>
    </row>
    <row r="1880">
      <c r="A1880" s="3" t="s">
        <v>544</v>
      </c>
      <c r="B1880" s="3" t="s">
        <v>831</v>
      </c>
      <c r="C1880" s="3" t="s">
        <v>2014</v>
      </c>
      <c r="D1880" s="4" t="str">
        <f>HYPERLINK("https://12go.asia/en/travel/lanzhou/changzhou", "12Go Link")</f>
        <v>12Go Link</v>
      </c>
      <c r="E1880" s="3" t="s">
        <v>94</v>
      </c>
      <c r="K1880" s="5"/>
    </row>
    <row r="1881">
      <c r="A1881" s="3" t="s">
        <v>544</v>
      </c>
      <c r="B1881" s="3" t="s">
        <v>1209</v>
      </c>
      <c r="C1881" s="3" t="s">
        <v>2015</v>
      </c>
      <c r="D1881" s="4" t="str">
        <f>HYPERLINK("https://12go.asia/en/travel/lanzhou-west/guangyuan", "12Go Link")</f>
        <v>12Go Link</v>
      </c>
      <c r="E1881" s="3" t="s">
        <v>94</v>
      </c>
      <c r="K1881" s="5"/>
    </row>
    <row r="1882">
      <c r="A1882" s="3" t="s">
        <v>544</v>
      </c>
      <c r="B1882" s="3" t="s">
        <v>526</v>
      </c>
      <c r="C1882" s="3" t="s">
        <v>2016</v>
      </c>
      <c r="D1882" s="4" t="str">
        <f>HYPERLINK("https://12go.asia/en/travel/lanzhou/harbin", "12Go Link")</f>
        <v>12Go Link</v>
      </c>
      <c r="E1882" s="3" t="s">
        <v>94</v>
      </c>
      <c r="K1882" s="5"/>
    </row>
    <row r="1883">
      <c r="A1883" s="3" t="s">
        <v>544</v>
      </c>
      <c r="B1883" s="3" t="s">
        <v>1386</v>
      </c>
      <c r="C1883" s="3" t="s">
        <v>2017</v>
      </c>
      <c r="D1883" s="4" t="str">
        <f>HYPERLINK("https://12go.asia/en/travel/lanzhou-west/luoyang", "12Go Link")</f>
        <v>12Go Link</v>
      </c>
      <c r="E1883" s="3" t="s">
        <v>94</v>
      </c>
      <c r="K1883" s="5"/>
    </row>
    <row r="1884">
      <c r="A1884" s="3" t="s">
        <v>544</v>
      </c>
      <c r="B1884" s="3" t="s">
        <v>1386</v>
      </c>
      <c r="C1884" s="3" t="s">
        <v>2018</v>
      </c>
      <c r="D1884" s="4" t="str">
        <f>HYPERLINK("https://12go.asia/en/travel/lanzhou-west/luoyang-longmen", "12Go Link")</f>
        <v>12Go Link</v>
      </c>
      <c r="E1884" s="3" t="s">
        <v>94</v>
      </c>
      <c r="K1884" s="5"/>
    </row>
    <row r="1885">
      <c r="A1885" s="3" t="s">
        <v>544</v>
      </c>
      <c r="B1885" s="3" t="s">
        <v>874</v>
      </c>
      <c r="C1885" s="3" t="s">
        <v>2019</v>
      </c>
      <c r="D1885" s="4" t="str">
        <f>HYPERLINK("https://12go.asia/en/travel/lanzhou-west/nanchang-west", "12Go Link")</f>
        <v>12Go Link</v>
      </c>
      <c r="E1885" s="3" t="s">
        <v>94</v>
      </c>
      <c r="K1885" s="5"/>
    </row>
    <row r="1886">
      <c r="A1886" s="3" t="s">
        <v>544</v>
      </c>
      <c r="B1886" s="3" t="s">
        <v>1467</v>
      </c>
      <c r="C1886" s="3" t="s">
        <v>2020</v>
      </c>
      <c r="D1886" s="4" t="str">
        <f>HYPERLINK("https://12go.asia/en/travel/lanzhou/qingdao-north", "12Go Link")</f>
        <v>12Go Link</v>
      </c>
      <c r="E1886" s="3" t="s">
        <v>94</v>
      </c>
      <c r="K1886" s="5"/>
    </row>
    <row r="1887">
      <c r="A1887" s="3" t="s">
        <v>544</v>
      </c>
      <c r="B1887" s="3" t="s">
        <v>2021</v>
      </c>
      <c r="C1887" s="3" t="s">
        <v>2022</v>
      </c>
      <c r="D1887" s="4" t="str">
        <f>HYPERLINK("https://12go.asia/en/travel/lanzhou-west/shandan", "12Go Link")</f>
        <v>12Go Link</v>
      </c>
      <c r="E1887" s="3" t="s">
        <v>94</v>
      </c>
      <c r="K1887" s="5"/>
    </row>
    <row r="1888">
      <c r="A1888" s="3" t="s">
        <v>544</v>
      </c>
      <c r="B1888" s="3" t="s">
        <v>2021</v>
      </c>
      <c r="C1888" s="3" t="s">
        <v>2023</v>
      </c>
      <c r="D1888" s="4" t="str">
        <f>HYPERLINK("https://12go.asia/en/travel/lanzhou/shandan", "12Go Link")</f>
        <v>12Go Link</v>
      </c>
      <c r="E1888" s="3" t="s">
        <v>94</v>
      </c>
      <c r="K1888" s="5"/>
    </row>
    <row r="1889">
      <c r="A1889" s="3" t="s">
        <v>544</v>
      </c>
      <c r="B1889" s="3" t="s">
        <v>1057</v>
      </c>
      <c r="C1889" s="3" t="s">
        <v>2024</v>
      </c>
      <c r="D1889" s="4" t="str">
        <f>HYPERLINK("https://12go.asia/en/travel/lanzhou-west/shangqiu", "12Go Link")</f>
        <v>12Go Link</v>
      </c>
      <c r="E1889" s="3" t="s">
        <v>94</v>
      </c>
      <c r="K1889" s="5"/>
    </row>
    <row r="1890">
      <c r="A1890" s="3" t="s">
        <v>544</v>
      </c>
      <c r="B1890" s="3" t="s">
        <v>1057</v>
      </c>
      <c r="C1890" s="3" t="s">
        <v>2025</v>
      </c>
      <c r="D1890" s="4" t="str">
        <f>HYPERLINK("https://12go.asia/en/travel/lanzhou/shangqiu", "12Go Link")</f>
        <v>12Go Link</v>
      </c>
      <c r="E1890" s="3" t="s">
        <v>94</v>
      </c>
      <c r="K1890" s="5"/>
    </row>
    <row r="1891">
      <c r="A1891" s="3" t="s">
        <v>544</v>
      </c>
      <c r="B1891" s="3" t="s">
        <v>554</v>
      </c>
      <c r="C1891" s="3" t="s">
        <v>2026</v>
      </c>
      <c r="D1891" s="4" t="str">
        <f>HYPERLINK("https://12go.asia/en/travel/lanzhou-west/shenyang", "12Go Link")</f>
        <v>12Go Link</v>
      </c>
      <c r="E1891" s="3" t="s">
        <v>94</v>
      </c>
      <c r="K1891" s="5"/>
    </row>
    <row r="1892">
      <c r="A1892" s="3" t="s">
        <v>544</v>
      </c>
      <c r="B1892" s="3" t="s">
        <v>554</v>
      </c>
      <c r="C1892" s="3" t="s">
        <v>2027</v>
      </c>
      <c r="D1892" s="4" t="str">
        <f>HYPERLINK("https://12go.asia/en/travel/lanzhou/shenyang", "12Go Link")</f>
        <v>12Go Link</v>
      </c>
      <c r="E1892" s="3" t="s">
        <v>94</v>
      </c>
      <c r="K1892" s="5"/>
    </row>
    <row r="1893">
      <c r="A1893" s="3" t="s">
        <v>544</v>
      </c>
      <c r="B1893" s="3" t="s">
        <v>878</v>
      </c>
      <c r="C1893" s="3" t="s">
        <v>2028</v>
      </c>
      <c r="D1893" s="4" t="str">
        <f>HYPERLINK("https://12go.asia/en/travel/lanzhou-west/shijiazhuang", "12Go Link")</f>
        <v>12Go Link</v>
      </c>
      <c r="E1893" s="3" t="s">
        <v>94</v>
      </c>
      <c r="K1893" s="5"/>
    </row>
    <row r="1894">
      <c r="A1894" s="3" t="s">
        <v>544</v>
      </c>
      <c r="B1894" s="3" t="s">
        <v>878</v>
      </c>
      <c r="C1894" s="3" t="s">
        <v>2029</v>
      </c>
      <c r="D1894" s="4" t="str">
        <f>HYPERLINK("https://12go.asia/en/travel/lanzhou-west/shijiazhuang-east", "12Go Link")</f>
        <v>12Go Link</v>
      </c>
      <c r="E1894" s="3" t="s">
        <v>94</v>
      </c>
      <c r="K1894" s="5"/>
    </row>
    <row r="1895">
      <c r="A1895" s="3" t="s">
        <v>544</v>
      </c>
      <c r="B1895" s="3" t="s">
        <v>878</v>
      </c>
      <c r="C1895" s="3" t="s">
        <v>2030</v>
      </c>
      <c r="D1895" s="4" t="str">
        <f>HYPERLINK("https://12go.asia/en/travel/lanzhou/shijiazhuang", "12Go Link")</f>
        <v>12Go Link</v>
      </c>
      <c r="E1895" s="3" t="s">
        <v>94</v>
      </c>
      <c r="K1895" s="5"/>
    </row>
    <row r="1896">
      <c r="A1896" s="3" t="s">
        <v>544</v>
      </c>
      <c r="B1896" s="3" t="s">
        <v>878</v>
      </c>
      <c r="C1896" s="3" t="s">
        <v>2031</v>
      </c>
      <c r="D1896" s="4" t="str">
        <f>HYPERLINK("https://12go.asia/en/travel/lanzhou/shijiazhuang-north", "12Go Link")</f>
        <v>12Go Link</v>
      </c>
      <c r="E1896" s="3" t="s">
        <v>94</v>
      </c>
      <c r="K1896" s="5"/>
    </row>
    <row r="1897">
      <c r="A1897" s="3" t="s">
        <v>544</v>
      </c>
      <c r="B1897" s="3" t="s">
        <v>1256</v>
      </c>
      <c r="C1897" s="3" t="s">
        <v>2032</v>
      </c>
      <c r="D1897" s="4" t="str">
        <f>HYPERLINK("https://12go.asia/en/travel/lanzhou-west/suzhou", "12Go Link")</f>
        <v>12Go Link</v>
      </c>
      <c r="E1897" s="3" t="s">
        <v>94</v>
      </c>
      <c r="K1897" s="5"/>
    </row>
    <row r="1898">
      <c r="A1898" s="3" t="s">
        <v>544</v>
      </c>
      <c r="B1898" s="3" t="s">
        <v>1256</v>
      </c>
      <c r="C1898" s="3" t="s">
        <v>2033</v>
      </c>
      <c r="D1898" s="4" t="str">
        <f>HYPERLINK("https://12go.asia/en/travel/lanzhou-west/suzhou-north", "12Go Link")</f>
        <v>12Go Link</v>
      </c>
      <c r="E1898" s="3" t="s">
        <v>94</v>
      </c>
      <c r="K1898" s="5"/>
    </row>
    <row r="1899">
      <c r="A1899" s="3" t="s">
        <v>544</v>
      </c>
      <c r="B1899" s="3" t="s">
        <v>1256</v>
      </c>
      <c r="C1899" s="3" t="s">
        <v>2034</v>
      </c>
      <c r="D1899" s="4" t="str">
        <f>HYPERLINK("https://12go.asia/en/travel/lanzhou/suzhou", "12Go Link")</f>
        <v>12Go Link</v>
      </c>
      <c r="E1899" s="3" t="s">
        <v>94</v>
      </c>
      <c r="K1899" s="5"/>
    </row>
    <row r="1900">
      <c r="A1900" s="3" t="s">
        <v>544</v>
      </c>
      <c r="B1900" s="3" t="s">
        <v>1627</v>
      </c>
      <c r="C1900" s="3" t="s">
        <v>2035</v>
      </c>
      <c r="D1900" s="4" t="str">
        <f>HYPERLINK("https://12go.asia/en/travel/lanzhou/taizhou-jiangsu", "12Go Link")</f>
        <v>12Go Link</v>
      </c>
      <c r="E1900" s="3" t="s">
        <v>94</v>
      </c>
      <c r="K1900" s="5"/>
    </row>
    <row r="1901">
      <c r="A1901" s="3" t="s">
        <v>544</v>
      </c>
      <c r="B1901" s="3" t="s">
        <v>1633</v>
      </c>
      <c r="C1901" s="3" t="s">
        <v>2036</v>
      </c>
      <c r="D1901" s="4" t="str">
        <f>HYPERLINK("https://12go.asia/en/travel/lanzhou-west/weinan", "12Go Link")</f>
        <v>12Go Link</v>
      </c>
      <c r="E1901" s="3" t="s">
        <v>94</v>
      </c>
      <c r="K1901" s="5"/>
    </row>
    <row r="1902">
      <c r="A1902" s="3" t="s">
        <v>544</v>
      </c>
      <c r="B1902" s="3" t="s">
        <v>1633</v>
      </c>
      <c r="C1902" s="3" t="s">
        <v>2037</v>
      </c>
      <c r="D1902" s="4" t="str">
        <f>HYPERLINK("https://12go.asia/en/travel/lanzhou/weinan-west", "12Go Link")</f>
        <v>12Go Link</v>
      </c>
      <c r="E1902" s="3" t="s">
        <v>94</v>
      </c>
      <c r="K1902" s="5"/>
    </row>
    <row r="1903">
      <c r="A1903" s="3" t="s">
        <v>544</v>
      </c>
      <c r="B1903" s="3" t="s">
        <v>570</v>
      </c>
      <c r="C1903" s="3" t="s">
        <v>2038</v>
      </c>
      <c r="D1903" s="4" t="str">
        <f>HYPERLINK("https://12go.asia/en/travel/lanzhou-west/menyuan", "12Go Link")</f>
        <v>12Go Link</v>
      </c>
      <c r="E1903" s="3" t="s">
        <v>94</v>
      </c>
      <c r="K1903" s="5"/>
    </row>
    <row r="1904">
      <c r="A1904" s="3" t="s">
        <v>544</v>
      </c>
      <c r="B1904" s="3" t="s">
        <v>1640</v>
      </c>
      <c r="C1904" s="3" t="s">
        <v>2039</v>
      </c>
      <c r="D1904" s="4" t="str">
        <f>HYPERLINK("https://12go.asia/en/travel/lanzhou-west/xinxiang-east", "12Go Link")</f>
        <v>12Go Link</v>
      </c>
      <c r="E1904" s="3" t="s">
        <v>94</v>
      </c>
      <c r="K1904" s="5"/>
    </row>
    <row r="1905">
      <c r="A1905" s="3" t="s">
        <v>544</v>
      </c>
      <c r="B1905" s="3" t="s">
        <v>1640</v>
      </c>
      <c r="C1905" s="3" t="s">
        <v>2040</v>
      </c>
      <c r="D1905" s="4" t="str">
        <f>HYPERLINK("https://12go.asia/en/travel/lanzhou/xinxiang", "12Go Link")</f>
        <v>12Go Link</v>
      </c>
      <c r="E1905" s="3" t="s">
        <v>94</v>
      </c>
      <c r="K1905" s="5"/>
    </row>
    <row r="1906">
      <c r="A1906" s="3" t="s">
        <v>544</v>
      </c>
      <c r="B1906" s="3" t="s">
        <v>809</v>
      </c>
      <c r="C1906" s="3" t="s">
        <v>2041</v>
      </c>
      <c r="D1906" s="4" t="str">
        <f>HYPERLINK("https://12go.asia/en/travel/lanzhou-west/xuchang-east", "12Go Link")</f>
        <v>12Go Link</v>
      </c>
      <c r="E1906" s="3" t="s">
        <v>94</v>
      </c>
      <c r="K1906" s="5"/>
    </row>
    <row r="1907">
      <c r="A1907" s="3" t="s">
        <v>544</v>
      </c>
      <c r="B1907" s="3" t="s">
        <v>579</v>
      </c>
      <c r="C1907" s="3" t="s">
        <v>2042</v>
      </c>
      <c r="D1907" s="4" t="str">
        <f>HYPERLINK("https://12go.asia/en/travel/lanzhou-west/xuzhou", "12Go Link")</f>
        <v>12Go Link</v>
      </c>
      <c r="E1907" s="3" t="s">
        <v>94</v>
      </c>
      <c r="K1907" s="5"/>
    </row>
    <row r="1908">
      <c r="A1908" s="3" t="s">
        <v>544</v>
      </c>
      <c r="B1908" s="3" t="s">
        <v>579</v>
      </c>
      <c r="C1908" s="3" t="s">
        <v>2043</v>
      </c>
      <c r="D1908" s="4" t="str">
        <f>HYPERLINK("https://12go.asia/en/travel/lanzhou-west/xuzhou-east", "12Go Link")</f>
        <v>12Go Link</v>
      </c>
      <c r="E1908" s="3" t="s">
        <v>94</v>
      </c>
      <c r="K1908" s="5"/>
    </row>
    <row r="1909">
      <c r="A1909" s="3" t="s">
        <v>544</v>
      </c>
      <c r="B1909" s="3" t="s">
        <v>579</v>
      </c>
      <c r="C1909" s="3" t="s">
        <v>2044</v>
      </c>
      <c r="D1909" s="4" t="str">
        <f>HYPERLINK("https://12go.asia/en/travel/lanzhou/xuzhou", "12Go Link")</f>
        <v>12Go Link</v>
      </c>
      <c r="E1909" s="3" t="s">
        <v>94</v>
      </c>
      <c r="K1909" s="5"/>
    </row>
    <row r="1910">
      <c r="A1910" s="3" t="s">
        <v>544</v>
      </c>
      <c r="B1910" s="3" t="s">
        <v>724</v>
      </c>
      <c r="C1910" s="3" t="s">
        <v>2045</v>
      </c>
      <c r="D1910" s="4" t="str">
        <f>HYPERLINK("https://12go.asia/en/travel/lanzhou-west/zhongwei", "12Go Link")</f>
        <v>12Go Link</v>
      </c>
      <c r="E1910" s="3" t="s">
        <v>94</v>
      </c>
      <c r="K1910" s="5"/>
    </row>
    <row r="1911">
      <c r="A1911" s="3" t="s">
        <v>544</v>
      </c>
      <c r="B1911" s="3" t="s">
        <v>724</v>
      </c>
      <c r="C1911" s="3" t="s">
        <v>2046</v>
      </c>
      <c r="D1911" s="4" t="str">
        <f>HYPERLINK("https://12go.asia/en/travel/lanzhou-west/zhongwei-south", "12Go Link")</f>
        <v>12Go Link</v>
      </c>
      <c r="E1911" s="3" t="s">
        <v>94</v>
      </c>
      <c r="K1911" s="5"/>
    </row>
    <row r="1912">
      <c r="A1912" s="3" t="s">
        <v>544</v>
      </c>
      <c r="B1912" s="3" t="s">
        <v>724</v>
      </c>
      <c r="C1912" s="3" t="s">
        <v>2047</v>
      </c>
      <c r="D1912" s="4" t="str">
        <f>HYPERLINK("https://12go.asia/en/travel/lanzhou/zhongwei", "12Go Link")</f>
        <v>12Go Link</v>
      </c>
      <c r="E1912" s="3" t="s">
        <v>94</v>
      </c>
      <c r="K1912" s="5"/>
    </row>
    <row r="1913">
      <c r="A1913" s="3" t="s">
        <v>975</v>
      </c>
      <c r="B1913" s="3" t="s">
        <v>745</v>
      </c>
      <c r="C1913" s="3" t="s">
        <v>2048</v>
      </c>
      <c r="D1913" s="4" t="str">
        <f>HYPERLINK("https://12go.asia/en/travel/leshan/changsha", "12Go Link")</f>
        <v>12Go Link</v>
      </c>
      <c r="E1913" s="3" t="s">
        <v>94</v>
      </c>
      <c r="K1913" s="5"/>
    </row>
    <row r="1914">
      <c r="A1914" s="3" t="s">
        <v>975</v>
      </c>
      <c r="B1914" s="3" t="s">
        <v>745</v>
      </c>
      <c r="C1914" s="3" t="s">
        <v>2049</v>
      </c>
      <c r="D1914" s="4" t="str">
        <f>HYPERLINK("https://12go.asia/en/travel/leshan/changsha-south", "12Go Link")</f>
        <v>12Go Link</v>
      </c>
      <c r="E1914" s="3" t="s">
        <v>94</v>
      </c>
      <c r="K1914" s="5"/>
    </row>
    <row r="1915">
      <c r="A1915" s="3" t="s">
        <v>975</v>
      </c>
      <c r="B1915" s="3" t="s">
        <v>1713</v>
      </c>
      <c r="C1915" s="3" t="s">
        <v>2050</v>
      </c>
      <c r="D1915" s="4" t="str">
        <f>HYPERLINK("https://12go.asia/en/travel/leshan/guiyang", "12Go Link")</f>
        <v>12Go Link</v>
      </c>
      <c r="E1915" s="3" t="s">
        <v>94</v>
      </c>
      <c r="K1915" s="5"/>
    </row>
    <row r="1916">
      <c r="A1916" s="3" t="s">
        <v>975</v>
      </c>
      <c r="B1916" s="3" t="s">
        <v>1713</v>
      </c>
      <c r="C1916" s="3" t="s">
        <v>2051</v>
      </c>
      <c r="D1916" s="4" t="str">
        <f>HYPERLINK("https://12go.asia/en/travel/leshan/guiyang-east", "12Go Link")</f>
        <v>12Go Link</v>
      </c>
      <c r="E1916" s="3" t="s">
        <v>94</v>
      </c>
      <c r="K1916" s="5"/>
    </row>
    <row r="1917">
      <c r="A1917" s="3" t="s">
        <v>975</v>
      </c>
      <c r="B1917" s="3" t="s">
        <v>1713</v>
      </c>
      <c r="C1917" s="3" t="s">
        <v>2052</v>
      </c>
      <c r="D1917" s="4" t="str">
        <f>HYPERLINK("https://12go.asia/en/travel/leshan/guiyang-north", "12Go Link")</f>
        <v>12Go Link</v>
      </c>
      <c r="E1917" s="3" t="s">
        <v>94</v>
      </c>
      <c r="K1917" s="5"/>
    </row>
    <row r="1918">
      <c r="A1918" s="3" t="s">
        <v>2053</v>
      </c>
      <c r="B1918" s="3" t="s">
        <v>2054</v>
      </c>
      <c r="C1918" s="3" t="s">
        <v>2055</v>
      </c>
      <c r="D1918" s="4" t="str">
        <f>HYPERLINK("https://12go.asia/en/travel/lhasa-tibet/golmud", "12Go Link")</f>
        <v>12Go Link</v>
      </c>
      <c r="E1918" s="3" t="s">
        <v>94</v>
      </c>
      <c r="K1918" s="5"/>
    </row>
    <row r="1919">
      <c r="A1919" s="3" t="s">
        <v>2053</v>
      </c>
      <c r="B1919" s="3" t="s">
        <v>2054</v>
      </c>
      <c r="C1919" s="3" t="s">
        <v>2056</v>
      </c>
      <c r="D1919" s="4" t="str">
        <f>HYPERLINK("https://12go.asia/en/travel/lhasa/golmud", "12Go Link")</f>
        <v>12Go Link</v>
      </c>
      <c r="E1919" s="3" t="s">
        <v>94</v>
      </c>
      <c r="K1919" s="5"/>
    </row>
    <row r="1920">
      <c r="A1920" s="3" t="s">
        <v>2053</v>
      </c>
      <c r="B1920" s="3" t="s">
        <v>1364</v>
      </c>
      <c r="C1920" s="3" t="s">
        <v>2057</v>
      </c>
      <c r="D1920" s="4" t="str">
        <f>HYPERLINK("https://12go.asia/en/travel/lhasa/guangdong", "12Go Link")</f>
        <v>12Go Link</v>
      </c>
      <c r="E1920" s="3" t="s">
        <v>94</v>
      </c>
      <c r="K1920" s="5"/>
    </row>
    <row r="1921">
      <c r="A1921" s="3" t="s">
        <v>2053</v>
      </c>
      <c r="B1921" s="3" t="s">
        <v>534</v>
      </c>
      <c r="C1921" s="3" t="s">
        <v>2058</v>
      </c>
      <c r="D1921" s="4" t="str">
        <f>HYPERLINK("https://12go.asia/en/travel/lhasa/hubei", "12Go Link")</f>
        <v>12Go Link</v>
      </c>
      <c r="E1921" s="3" t="s">
        <v>94</v>
      </c>
      <c r="K1921" s="5"/>
    </row>
    <row r="1922">
      <c r="A1922" s="3" t="s">
        <v>2053</v>
      </c>
      <c r="B1922" s="3" t="s">
        <v>542</v>
      </c>
      <c r="C1922" s="3" t="s">
        <v>2059</v>
      </c>
      <c r="D1922" s="4" t="str">
        <f>HYPERLINK("https://12go.asia/en/travel/lhasa/jiaocheng", "12Go Link")</f>
        <v>12Go Link</v>
      </c>
      <c r="E1922" s="3" t="s">
        <v>94</v>
      </c>
      <c r="K1922" s="5"/>
    </row>
    <row r="1923">
      <c r="A1923" s="3" t="s">
        <v>2053</v>
      </c>
      <c r="B1923" s="3" t="s">
        <v>548</v>
      </c>
      <c r="C1923" s="3" t="s">
        <v>2060</v>
      </c>
      <c r="D1923" s="4" t="str">
        <f>HYPERLINK("https://12go.asia/en/travel/lhasa/qinghai", "12Go Link")</f>
        <v>12Go Link</v>
      </c>
      <c r="E1923" s="3" t="s">
        <v>94</v>
      </c>
      <c r="K1923" s="5"/>
    </row>
    <row r="1924">
      <c r="A1924" s="3" t="s">
        <v>2053</v>
      </c>
      <c r="B1924" s="3" t="s">
        <v>560</v>
      </c>
      <c r="C1924" s="3" t="s">
        <v>2061</v>
      </c>
      <c r="D1924" s="4" t="str">
        <f>HYPERLINK("https://12go.asia/en/travel/lhasa/shuangliu", "12Go Link")</f>
        <v>12Go Link</v>
      </c>
      <c r="E1924" s="3" t="s">
        <v>94</v>
      </c>
      <c r="K1924" s="5"/>
    </row>
    <row r="1925">
      <c r="A1925" s="3" t="s">
        <v>2053</v>
      </c>
      <c r="B1925" s="3" t="s">
        <v>2062</v>
      </c>
      <c r="C1925" s="3" t="s">
        <v>2063</v>
      </c>
      <c r="D1925" s="4" t="str">
        <f>HYPERLINK("https://12go.asia/en/travel/lhasa-tibet/shigatse", "12Go Link")</f>
        <v>12Go Link</v>
      </c>
      <c r="E1925" s="3" t="s">
        <v>94</v>
      </c>
      <c r="K1925" s="5"/>
    </row>
    <row r="1926">
      <c r="A1926" s="3" t="s">
        <v>2053</v>
      </c>
      <c r="B1926" s="3" t="s">
        <v>2062</v>
      </c>
      <c r="C1926" s="3" t="s">
        <v>2064</v>
      </c>
      <c r="D1926" s="4" t="str">
        <f>HYPERLINK("https://12go.asia/en/travel/lhasa/tibet", "12Go Link")</f>
        <v>12Go Link</v>
      </c>
      <c r="E1926" s="3" t="s">
        <v>94</v>
      </c>
      <c r="K1926" s="5"/>
    </row>
    <row r="1927">
      <c r="A1927" s="3" t="s">
        <v>2053</v>
      </c>
      <c r="B1927" s="3" t="s">
        <v>566</v>
      </c>
      <c r="C1927" s="3" t="s">
        <v>2065</v>
      </c>
      <c r="D1927" s="4" t="str">
        <f>HYPERLINK("https://12go.asia/en/travel/lhasa/wenjiang", "12Go Link")</f>
        <v>12Go Link</v>
      </c>
      <c r="E1927" s="3" t="s">
        <v>94</v>
      </c>
      <c r="K1927" s="5"/>
    </row>
    <row r="1928">
      <c r="A1928" s="3" t="s">
        <v>2053</v>
      </c>
      <c r="B1928" s="3" t="s">
        <v>796</v>
      </c>
      <c r="C1928" s="3" t="s">
        <v>2066</v>
      </c>
      <c r="D1928" s="4" t="str">
        <f>HYPERLINK("https://12go.asia/en/travel/lhasa-tibet/wuchang", "12Go Link")</f>
        <v>12Go Link</v>
      </c>
      <c r="E1928" s="3" t="s">
        <v>94</v>
      </c>
      <c r="K1928" s="5"/>
    </row>
    <row r="1929">
      <c r="A1929" s="3" t="s">
        <v>2053</v>
      </c>
      <c r="B1929" s="3" t="s">
        <v>796</v>
      </c>
      <c r="C1929" s="3" t="s">
        <v>2067</v>
      </c>
      <c r="D1929" s="4" t="str">
        <f>HYPERLINK("https://12go.asia/en/travel/lhasa/wuhan", "12Go Link")</f>
        <v>12Go Link</v>
      </c>
      <c r="E1929" s="3" t="s">
        <v>94</v>
      </c>
      <c r="K1929" s="5"/>
    </row>
    <row r="1930">
      <c r="A1930" s="3" t="s">
        <v>2068</v>
      </c>
      <c r="B1930" s="3" t="s">
        <v>851</v>
      </c>
      <c r="C1930" s="3" t="s">
        <v>2069</v>
      </c>
      <c r="D1930" s="4" t="str">
        <f>HYPERLINK("https://12go.asia/en/travel/liancheng/guangxi", "12Go Link")</f>
        <v>12Go Link</v>
      </c>
      <c r="E1930" s="3" t="s">
        <v>94</v>
      </c>
      <c r="K1930" s="5"/>
    </row>
    <row r="1931">
      <c r="A1931" s="3" t="s">
        <v>2068</v>
      </c>
      <c r="B1931" s="3" t="s">
        <v>1989</v>
      </c>
      <c r="C1931" s="3" t="s">
        <v>2070</v>
      </c>
      <c r="D1931" s="4" t="str">
        <f>HYPERLINK("https://12go.asia/en/travel/liancheng/liuzhou", "12Go Link")</f>
        <v>12Go Link</v>
      </c>
      <c r="E1931" s="3" t="s">
        <v>94</v>
      </c>
      <c r="K1931" s="5"/>
    </row>
    <row r="1932">
      <c r="A1932" s="3" t="s">
        <v>2068</v>
      </c>
      <c r="B1932" s="3" t="s">
        <v>679</v>
      </c>
      <c r="C1932" s="3" t="s">
        <v>2071</v>
      </c>
      <c r="D1932" s="4" t="str">
        <f>HYPERLINK("https://12go.asia/en/travel/liancheng/mingxi", "12Go Link")</f>
        <v>12Go Link</v>
      </c>
      <c r="E1932" s="3" t="s">
        <v>94</v>
      </c>
      <c r="K1932" s="5"/>
    </row>
    <row r="1933">
      <c r="A1933" s="3" t="s">
        <v>2068</v>
      </c>
      <c r="B1933" s="3" t="s">
        <v>1534</v>
      </c>
      <c r="C1933" s="3" t="s">
        <v>2072</v>
      </c>
      <c r="D1933" s="4" t="str">
        <f>HYPERLINK("https://12go.asia/en/travel/liancheng/nanning", "12Go Link")</f>
        <v>12Go Link</v>
      </c>
      <c r="E1933" s="3" t="s">
        <v>94</v>
      </c>
      <c r="K1933" s="5"/>
    </row>
    <row r="1934">
      <c r="A1934" s="3" t="s">
        <v>1246</v>
      </c>
      <c r="B1934" s="3" t="s">
        <v>740</v>
      </c>
      <c r="C1934" s="3" t="s">
        <v>2073</v>
      </c>
      <c r="D1934" s="4" t="str">
        <f>HYPERLINK("https://12go.asia/en/travel/lianyungang/changchun", "12Go Link")</f>
        <v>12Go Link</v>
      </c>
      <c r="E1934" s="3" t="s">
        <v>94</v>
      </c>
      <c r="K1934" s="5"/>
    </row>
    <row r="1935">
      <c r="A1935" s="3" t="s">
        <v>1246</v>
      </c>
      <c r="B1935" s="3" t="s">
        <v>740</v>
      </c>
      <c r="C1935" s="3" t="s">
        <v>2074</v>
      </c>
      <c r="D1935" s="4" t="str">
        <f>HYPERLINK("https://12go.asia/en/travel/lianyungang/changchun-west", "12Go Link")</f>
        <v>12Go Link</v>
      </c>
      <c r="E1935" s="3" t="s">
        <v>94</v>
      </c>
      <c r="K1935" s="5"/>
    </row>
    <row r="1936">
      <c r="A1936" s="3" t="s">
        <v>1246</v>
      </c>
      <c r="B1936" s="3" t="s">
        <v>520</v>
      </c>
      <c r="C1936" s="3" t="s">
        <v>2075</v>
      </c>
      <c r="D1936" s="4" t="str">
        <f>HYPERLINK("https://12go.asia/en/travel/lianyungang/gansu", "12Go Link")</f>
        <v>12Go Link</v>
      </c>
      <c r="E1936" s="3" t="s">
        <v>94</v>
      </c>
      <c r="K1936" s="5"/>
    </row>
    <row r="1937">
      <c r="A1937" s="3" t="s">
        <v>1246</v>
      </c>
      <c r="B1937" s="3" t="s">
        <v>1366</v>
      </c>
      <c r="C1937" s="3" t="s">
        <v>2076</v>
      </c>
      <c r="D1937" s="4" t="str">
        <f>HYPERLINK("https://12go.asia/en/travel/lianyungang/guangzhou", "12Go Link")</f>
        <v>12Go Link</v>
      </c>
      <c r="E1937" s="3" t="s">
        <v>94</v>
      </c>
      <c r="K1937" s="5"/>
    </row>
    <row r="1938">
      <c r="A1938" s="3" t="s">
        <v>1246</v>
      </c>
      <c r="B1938" s="3" t="s">
        <v>1366</v>
      </c>
      <c r="C1938" s="3" t="s">
        <v>2077</v>
      </c>
      <c r="D1938" s="4" t="str">
        <f>HYPERLINK("https://12go.asia/en/travel/lianyungang/guangzhou-south", "12Go Link")</f>
        <v>12Go Link</v>
      </c>
      <c r="E1938" s="3" t="s">
        <v>94</v>
      </c>
      <c r="K1938" s="5"/>
    </row>
    <row r="1939">
      <c r="A1939" s="3" t="s">
        <v>1246</v>
      </c>
      <c r="B1939" s="3" t="s">
        <v>755</v>
      </c>
      <c r="C1939" s="3" t="s">
        <v>2078</v>
      </c>
      <c r="D1939" s="4" t="str">
        <f>HYPERLINK("https://12go.asia/en/travel/lianyungang/hangzhou-east", "12Go Link")</f>
        <v>12Go Link</v>
      </c>
      <c r="E1939" s="3" t="s">
        <v>94</v>
      </c>
      <c r="K1939" s="5"/>
    </row>
    <row r="1940">
      <c r="A1940" s="3" t="s">
        <v>1246</v>
      </c>
      <c r="B1940" s="3" t="s">
        <v>755</v>
      </c>
      <c r="C1940" s="3" t="s">
        <v>2079</v>
      </c>
      <c r="D1940" s="4" t="str">
        <f>HYPERLINK("https://12go.asia/en/travel/lianyungang/hangzhou-west", "12Go Link")</f>
        <v>12Go Link</v>
      </c>
      <c r="E1940" s="3" t="s">
        <v>94</v>
      </c>
      <c r="K1940" s="5"/>
    </row>
    <row r="1941">
      <c r="A1941" s="3" t="s">
        <v>1246</v>
      </c>
      <c r="B1941" s="3" t="s">
        <v>1081</v>
      </c>
      <c r="C1941" s="3" t="s">
        <v>2080</v>
      </c>
      <c r="D1941" s="4" t="str">
        <f>HYPERLINK("https://12go.asia/en/travel/lianyungang/hefei", "12Go Link")</f>
        <v>12Go Link</v>
      </c>
      <c r="E1941" s="3" t="s">
        <v>94</v>
      </c>
      <c r="K1941" s="5"/>
    </row>
    <row r="1942">
      <c r="A1942" s="3" t="s">
        <v>1246</v>
      </c>
      <c r="B1942" s="3" t="s">
        <v>1081</v>
      </c>
      <c r="C1942" s="3" t="s">
        <v>2081</v>
      </c>
      <c r="D1942" s="4" t="str">
        <f>HYPERLINK("https://12go.asia/en/travel/lianyungang/hefei-south", "12Go Link")</f>
        <v>12Go Link</v>
      </c>
      <c r="E1942" s="3" t="s">
        <v>94</v>
      </c>
      <c r="K1942" s="5"/>
    </row>
    <row r="1943">
      <c r="A1943" s="3" t="s">
        <v>1246</v>
      </c>
      <c r="B1943" s="3" t="s">
        <v>1033</v>
      </c>
      <c r="C1943" s="3" t="s">
        <v>2082</v>
      </c>
      <c r="D1943" s="4" t="str">
        <f>HYPERLINK("https://12go.asia/en/travel/lianyungang/henan", "12Go Link")</f>
        <v>12Go Link</v>
      </c>
      <c r="E1943" s="3" t="s">
        <v>94</v>
      </c>
      <c r="K1943" s="5"/>
    </row>
    <row r="1944">
      <c r="A1944" s="3" t="s">
        <v>1246</v>
      </c>
      <c r="B1944" s="3" t="s">
        <v>1140</v>
      </c>
      <c r="C1944" s="3" t="s">
        <v>2083</v>
      </c>
      <c r="D1944" s="4" t="str">
        <f>HYPERLINK("https://12go.asia/en/travel/lianyungang/baoying", "12Go Link")</f>
        <v>12Go Link</v>
      </c>
      <c r="E1944" s="3" t="s">
        <v>94</v>
      </c>
      <c r="K1944" s="5"/>
    </row>
    <row r="1945">
      <c r="A1945" s="3" t="s">
        <v>1246</v>
      </c>
      <c r="B1945" s="3" t="s">
        <v>1140</v>
      </c>
      <c r="C1945" s="3" t="s">
        <v>2084</v>
      </c>
      <c r="D1945" s="4" t="str">
        <f>HYPERLINK("https://12go.asia/en/travel/lianyungang/huaian", "12Go Link")</f>
        <v>12Go Link</v>
      </c>
      <c r="E1945" s="3" t="s">
        <v>94</v>
      </c>
      <c r="K1945" s="5"/>
    </row>
    <row r="1946">
      <c r="A1946" s="3" t="s">
        <v>1246</v>
      </c>
      <c r="B1946" s="3" t="s">
        <v>1140</v>
      </c>
      <c r="C1946" s="3" t="s">
        <v>2085</v>
      </c>
      <c r="D1946" s="4" t="str">
        <f>HYPERLINK("https://12go.asia/en/travel/lianyungang/lianshui", "12Go Link")</f>
        <v>12Go Link</v>
      </c>
      <c r="E1946" s="3" t="s">
        <v>94</v>
      </c>
      <c r="K1946" s="5"/>
    </row>
    <row r="1947">
      <c r="A1947" s="3" t="s">
        <v>1246</v>
      </c>
      <c r="B1947" s="3" t="s">
        <v>643</v>
      </c>
      <c r="C1947" s="3" t="s">
        <v>2086</v>
      </c>
      <c r="D1947" s="4" t="str">
        <f>HYPERLINK("https://12go.asia/en/travel/lianyungang/jiangning", "12Go Link")</f>
        <v>12Go Link</v>
      </c>
      <c r="E1947" s="3" t="s">
        <v>94</v>
      </c>
      <c r="K1947" s="5"/>
    </row>
    <row r="1948">
      <c r="A1948" s="3" t="s">
        <v>1246</v>
      </c>
      <c r="B1948" s="3" t="s">
        <v>643</v>
      </c>
      <c r="C1948" s="3" t="s">
        <v>2087</v>
      </c>
      <c r="D1948" s="4" t="str">
        <f>HYPERLINK("https://12go.asia/en/travel/lianyungang/jiangning-west", "12Go Link")</f>
        <v>12Go Link</v>
      </c>
      <c r="E1948" s="3" t="s">
        <v>94</v>
      </c>
      <c r="K1948" s="5"/>
    </row>
    <row r="1949">
      <c r="A1949" s="3" t="s">
        <v>1246</v>
      </c>
      <c r="B1949" s="3" t="s">
        <v>540</v>
      </c>
      <c r="C1949" s="3" t="s">
        <v>2088</v>
      </c>
      <c r="D1949" s="4" t="str">
        <f>HYPERLINK("https://12go.asia/en/travel/lianyungang/jiangzhou", "12Go Link")</f>
        <v>12Go Link</v>
      </c>
      <c r="E1949" s="3" t="s">
        <v>94</v>
      </c>
      <c r="K1949" s="5"/>
    </row>
    <row r="1950">
      <c r="A1950" s="3" t="s">
        <v>1246</v>
      </c>
      <c r="B1950" s="3" t="s">
        <v>542</v>
      </c>
      <c r="C1950" s="3" t="s">
        <v>2089</v>
      </c>
      <c r="D1950" s="4" t="str">
        <f>HYPERLINK("https://12go.asia/en/travel/lianyungang/jiaocheng", "12Go Link")</f>
        <v>12Go Link</v>
      </c>
      <c r="E1950" s="3" t="s">
        <v>94</v>
      </c>
      <c r="K1950" s="5"/>
    </row>
    <row r="1951">
      <c r="A1951" s="3" t="s">
        <v>1246</v>
      </c>
      <c r="B1951" s="3" t="s">
        <v>1240</v>
      </c>
      <c r="C1951" s="3" t="s">
        <v>2090</v>
      </c>
      <c r="D1951" s="4" t="str">
        <f>HYPERLINK("https://12go.asia/en/travel/lianyungang/jinan", "12Go Link")</f>
        <v>12Go Link</v>
      </c>
      <c r="E1951" s="3" t="s">
        <v>94</v>
      </c>
      <c r="K1951" s="5"/>
    </row>
    <row r="1952">
      <c r="A1952" s="3" t="s">
        <v>1246</v>
      </c>
      <c r="B1952" s="3" t="s">
        <v>1662</v>
      </c>
      <c r="C1952" s="3" t="s">
        <v>2091</v>
      </c>
      <c r="D1952" s="4" t="str">
        <f>HYPERLINK("https://12go.asia/en/travel/lianyungang/jining", "12Go Link")</f>
        <v>12Go Link</v>
      </c>
      <c r="E1952" s="3" t="s">
        <v>94</v>
      </c>
      <c r="K1952" s="5"/>
    </row>
    <row r="1953">
      <c r="A1953" s="3" t="s">
        <v>1246</v>
      </c>
      <c r="B1953" s="3" t="s">
        <v>1662</v>
      </c>
      <c r="C1953" s="3" t="s">
        <v>2092</v>
      </c>
      <c r="D1953" s="4" t="str">
        <f>HYPERLINK("https://12go.asia/en/travel/lianyungang/tengzhou-east", "12Go Link")</f>
        <v>12Go Link</v>
      </c>
      <c r="E1953" s="3" t="s">
        <v>94</v>
      </c>
      <c r="K1953" s="5"/>
    </row>
    <row r="1954">
      <c r="A1954" s="3" t="s">
        <v>1246</v>
      </c>
      <c r="B1954" s="3" t="s">
        <v>544</v>
      </c>
      <c r="C1954" s="3" t="s">
        <v>2093</v>
      </c>
      <c r="D1954" s="4" t="str">
        <f>HYPERLINK("https://12go.asia/en/travel/lianyungang/lanzhou", "12Go Link")</f>
        <v>12Go Link</v>
      </c>
      <c r="E1954" s="3" t="s">
        <v>94</v>
      </c>
      <c r="K1954" s="5"/>
    </row>
    <row r="1955">
      <c r="A1955" s="3" t="s">
        <v>1246</v>
      </c>
      <c r="B1955" s="3" t="s">
        <v>544</v>
      </c>
      <c r="C1955" s="3" t="s">
        <v>2094</v>
      </c>
      <c r="D1955" s="4" t="str">
        <f>HYPERLINK("https://12go.asia/en/travel/lianyungang/lanzhou-west", "12Go Link")</f>
        <v>12Go Link</v>
      </c>
      <c r="E1955" s="3" t="s">
        <v>94</v>
      </c>
      <c r="K1955" s="5"/>
    </row>
    <row r="1956">
      <c r="A1956" s="3" t="s">
        <v>1246</v>
      </c>
      <c r="B1956" s="3" t="s">
        <v>1386</v>
      </c>
      <c r="C1956" s="3" t="s">
        <v>2095</v>
      </c>
      <c r="D1956" s="4" t="str">
        <f>HYPERLINK("https://12go.asia/en/travel/lianyungang/luoyang", "12Go Link")</f>
        <v>12Go Link</v>
      </c>
      <c r="E1956" s="3" t="s">
        <v>94</v>
      </c>
      <c r="K1956" s="5"/>
    </row>
    <row r="1957">
      <c r="A1957" s="3" t="s">
        <v>1246</v>
      </c>
      <c r="B1957" s="3" t="s">
        <v>1386</v>
      </c>
      <c r="C1957" s="3" t="s">
        <v>2096</v>
      </c>
      <c r="D1957" s="4" t="str">
        <f>HYPERLINK("https://12go.asia/en/travel/lianyungang/luoyang-longmen", "12Go Link")</f>
        <v>12Go Link</v>
      </c>
      <c r="E1957" s="3" t="s">
        <v>94</v>
      </c>
      <c r="K1957" s="5"/>
    </row>
    <row r="1958">
      <c r="A1958" s="3" t="s">
        <v>1246</v>
      </c>
      <c r="B1958" s="3" t="s">
        <v>550</v>
      </c>
      <c r="C1958" s="3" t="s">
        <v>2097</v>
      </c>
      <c r="D1958" s="4" t="str">
        <f>HYPERLINK("https://12go.asia/en/travel/lianyungang/saihan", "12Go Link")</f>
        <v>12Go Link</v>
      </c>
      <c r="E1958" s="3" t="s">
        <v>94</v>
      </c>
      <c r="K1958" s="5"/>
    </row>
    <row r="1959">
      <c r="A1959" s="3" t="s">
        <v>1246</v>
      </c>
      <c r="B1959" s="3" t="s">
        <v>917</v>
      </c>
      <c r="C1959" s="3" t="s">
        <v>2098</v>
      </c>
      <c r="D1959" s="4" t="str">
        <f>HYPERLINK("https://12go.asia/en/travel/lianyungang/shanghai-songjiang", "12Go Link")</f>
        <v>12Go Link</v>
      </c>
      <c r="E1959" s="3" t="s">
        <v>94</v>
      </c>
      <c r="K1959" s="5"/>
    </row>
    <row r="1960">
      <c r="A1960" s="3" t="s">
        <v>1246</v>
      </c>
      <c r="B1960" s="3" t="s">
        <v>917</v>
      </c>
      <c r="C1960" s="3" t="s">
        <v>2099</v>
      </c>
      <c r="D1960" s="4" t="str">
        <f>HYPERLINK("https://12go.asia/en/travel/lianyungang/songjiang-north", "12Go Link")</f>
        <v>12Go Link</v>
      </c>
      <c r="E1960" s="3" t="s">
        <v>94</v>
      </c>
      <c r="K1960" s="5"/>
    </row>
    <row r="1961">
      <c r="A1961" s="3" t="s">
        <v>1246</v>
      </c>
      <c r="B1961" s="3" t="s">
        <v>917</v>
      </c>
      <c r="C1961" s="3" t="s">
        <v>2100</v>
      </c>
      <c r="D1961" s="4" t="str">
        <f>HYPERLINK("https://12go.asia/en/travel/lianyungang/songjiang-shanghai", "12Go Link")</f>
        <v>12Go Link</v>
      </c>
      <c r="E1961" s="3" t="s">
        <v>94</v>
      </c>
      <c r="K1961" s="5"/>
    </row>
    <row r="1962">
      <c r="A1962" s="3" t="s">
        <v>1246</v>
      </c>
      <c r="B1962" s="3" t="s">
        <v>2101</v>
      </c>
      <c r="C1962" s="3" t="s">
        <v>2102</v>
      </c>
      <c r="D1962" s="4" t="str">
        <f>HYPERLINK("https://12go.asia/en/travel/lianyungang/tianshui", "12Go Link")</f>
        <v>12Go Link</v>
      </c>
      <c r="E1962" s="3" t="s">
        <v>94</v>
      </c>
      <c r="K1962" s="5"/>
    </row>
    <row r="1963">
      <c r="A1963" s="3" t="s">
        <v>1246</v>
      </c>
      <c r="B1963" s="3" t="s">
        <v>2101</v>
      </c>
      <c r="C1963" s="3" t="s">
        <v>2103</v>
      </c>
      <c r="D1963" s="4" t="str">
        <f>HYPERLINK("https://12go.asia/en/travel/lianyungang/tianshui-south", "12Go Link")</f>
        <v>12Go Link</v>
      </c>
      <c r="E1963" s="3" t="s">
        <v>94</v>
      </c>
      <c r="K1963" s="5"/>
    </row>
    <row r="1964">
      <c r="A1964" s="3" t="s">
        <v>1246</v>
      </c>
      <c r="B1964" s="3" t="s">
        <v>564</v>
      </c>
      <c r="C1964" s="3" t="s">
        <v>2104</v>
      </c>
      <c r="D1964" s="4" t="str">
        <f>HYPERLINK("https://12go.asia/en/travel/lianyungang/tianxin", "12Go Link")</f>
        <v>12Go Link</v>
      </c>
      <c r="E1964" s="3" t="s">
        <v>94</v>
      </c>
      <c r="K1964" s="5"/>
    </row>
    <row r="1965">
      <c r="A1965" s="3" t="s">
        <v>1246</v>
      </c>
      <c r="B1965" s="3" t="s">
        <v>790</v>
      </c>
      <c r="C1965" s="3" t="s">
        <v>2105</v>
      </c>
      <c r="D1965" s="4" t="str">
        <f>HYPERLINK("https://12go.asia/en/travel/lianyungang/weifang", "12Go Link")</f>
        <v>12Go Link</v>
      </c>
      <c r="E1965" s="3" t="s">
        <v>94</v>
      </c>
      <c r="K1965" s="5"/>
    </row>
    <row r="1966">
      <c r="A1966" s="3" t="s">
        <v>1246</v>
      </c>
      <c r="B1966" s="3" t="s">
        <v>790</v>
      </c>
      <c r="C1966" s="3" t="s">
        <v>2106</v>
      </c>
      <c r="D1966" s="4" t="str">
        <f>HYPERLINK("https://12go.asia/en/travel/lianyungang/weifang-north", "12Go Link")</f>
        <v>12Go Link</v>
      </c>
      <c r="E1966" s="3" t="s">
        <v>94</v>
      </c>
      <c r="K1966" s="5"/>
    </row>
    <row r="1967">
      <c r="A1967" s="3" t="s">
        <v>1246</v>
      </c>
      <c r="B1967" s="3" t="s">
        <v>1674</v>
      </c>
      <c r="C1967" s="3" t="s">
        <v>2107</v>
      </c>
      <c r="D1967" s="4" t="str">
        <f>HYPERLINK("https://12go.asia/en/travel/lianyungang/wuhu", "12Go Link")</f>
        <v>12Go Link</v>
      </c>
      <c r="E1967" s="3" t="s">
        <v>94</v>
      </c>
      <c r="K1967" s="5"/>
    </row>
    <row r="1968">
      <c r="A1968" s="3" t="s">
        <v>1246</v>
      </c>
      <c r="B1968" s="3" t="s">
        <v>568</v>
      </c>
      <c r="C1968" s="3" t="s">
        <v>2108</v>
      </c>
      <c r="D1968" s="4" t="str">
        <f>HYPERLINK("https://12go.asia/en/travel/lianyungang/xigu", "12Go Link")</f>
        <v>12Go Link</v>
      </c>
      <c r="E1968" s="3" t="s">
        <v>94</v>
      </c>
      <c r="K1968" s="5"/>
    </row>
    <row r="1969">
      <c r="A1969" s="3" t="s">
        <v>1246</v>
      </c>
      <c r="B1969" s="3" t="s">
        <v>712</v>
      </c>
      <c r="C1969" s="3" t="s">
        <v>2109</v>
      </c>
      <c r="D1969" s="4" t="str">
        <f>HYPERLINK("https://12go.asia/en/travel/lianyungang/xihu", "12Go Link")</f>
        <v>12Go Link</v>
      </c>
      <c r="E1969" s="3" t="s">
        <v>94</v>
      </c>
      <c r="K1969" s="5"/>
    </row>
    <row r="1970">
      <c r="A1970" s="3" t="s">
        <v>1105</v>
      </c>
      <c r="B1970" s="3" t="s">
        <v>515</v>
      </c>
      <c r="C1970" s="3" t="s">
        <v>2110</v>
      </c>
      <c r="D1970" s="4" t="str">
        <f>HYPERLINK("https://12go.asia/en/travel/liaoning/anyang", "12Go Link")</f>
        <v>12Go Link</v>
      </c>
      <c r="E1970" s="3" t="s">
        <v>94</v>
      </c>
      <c r="K1970" s="5"/>
    </row>
    <row r="1971">
      <c r="A1971" s="3" t="s">
        <v>1105</v>
      </c>
      <c r="B1971" s="3" t="s">
        <v>587</v>
      </c>
      <c r="C1971" s="3" t="s">
        <v>2111</v>
      </c>
      <c r="D1971" s="4" t="str">
        <f>HYPERLINK("https://12go.asia/en/travel/liaoning/baoding", "12Go Link")</f>
        <v>12Go Link</v>
      </c>
      <c r="E1971" s="3" t="s">
        <v>94</v>
      </c>
      <c r="K1971" s="5"/>
    </row>
    <row r="1972">
      <c r="A1972" s="3" t="s">
        <v>1105</v>
      </c>
      <c r="B1972" s="3" t="s">
        <v>604</v>
      </c>
      <c r="C1972" s="3" t="s">
        <v>2112</v>
      </c>
      <c r="D1972" s="4" t="str">
        <f>HYPERLINK("https://12go.asia/en/travel/liaoning/daqing", "12Go Link")</f>
        <v>12Go Link</v>
      </c>
      <c r="E1972" s="3" t="s">
        <v>94</v>
      </c>
      <c r="K1972" s="5"/>
    </row>
    <row r="1973">
      <c r="A1973" s="3" t="s">
        <v>1105</v>
      </c>
      <c r="B1973" s="3" t="s">
        <v>1421</v>
      </c>
      <c r="C1973" s="3" t="s">
        <v>2113</v>
      </c>
      <c r="D1973" s="4" t="str">
        <f>HYPERLINK("https://12go.asia/en/travel/liaoning/fuyang-anhui", "12Go Link")</f>
        <v>12Go Link</v>
      </c>
      <c r="E1973" s="3" t="s">
        <v>94</v>
      </c>
      <c r="K1973" s="5"/>
    </row>
    <row r="1974">
      <c r="A1974" s="3" t="s">
        <v>1105</v>
      </c>
      <c r="B1974" s="3" t="s">
        <v>858</v>
      </c>
      <c r="C1974" s="3" t="s">
        <v>2114</v>
      </c>
      <c r="D1974" s="4" t="str">
        <f>HYPERLINK("https://12go.asia/en/travel/liaoning/heihe", "12Go Link")</f>
        <v>12Go Link</v>
      </c>
      <c r="E1974" s="3" t="s">
        <v>94</v>
      </c>
      <c r="K1974" s="5"/>
    </row>
    <row r="1975">
      <c r="A1975" s="3" t="s">
        <v>1105</v>
      </c>
      <c r="B1975" s="3" t="s">
        <v>758</v>
      </c>
      <c r="C1975" s="3" t="s">
        <v>2115</v>
      </c>
      <c r="D1975" s="4" t="str">
        <f>HYPERLINK("https://12go.asia/en/travel/liaoning/heze", "12Go Link")</f>
        <v>12Go Link</v>
      </c>
      <c r="E1975" s="3" t="s">
        <v>94</v>
      </c>
      <c r="K1975" s="5"/>
    </row>
    <row r="1976">
      <c r="A1976" s="3" t="s">
        <v>1105</v>
      </c>
      <c r="B1976" s="3" t="s">
        <v>632</v>
      </c>
      <c r="C1976" s="3" t="s">
        <v>2116</v>
      </c>
      <c r="D1976" s="4" t="str">
        <f>HYPERLINK("https://12go.asia/en/travel/liaoning/huaxi", "12Go Link")</f>
        <v>12Go Link</v>
      </c>
      <c r="E1976" s="3" t="s">
        <v>94</v>
      </c>
      <c r="K1976" s="5"/>
    </row>
    <row r="1977">
      <c r="A1977" s="3" t="s">
        <v>1105</v>
      </c>
      <c r="B1977" s="3" t="s">
        <v>643</v>
      </c>
      <c r="C1977" s="3" t="s">
        <v>2117</v>
      </c>
      <c r="D1977" s="4" t="str">
        <f>HYPERLINK("https://12go.asia/en/travel/liaoning/jiangning", "12Go Link")</f>
        <v>12Go Link</v>
      </c>
      <c r="E1977" s="3" t="s">
        <v>94</v>
      </c>
      <c r="K1977" s="5"/>
    </row>
    <row r="1978">
      <c r="A1978" s="3" t="s">
        <v>1105</v>
      </c>
      <c r="B1978" s="3" t="s">
        <v>540</v>
      </c>
      <c r="C1978" s="3" t="s">
        <v>2118</v>
      </c>
      <c r="D1978" s="4" t="str">
        <f>HYPERLINK("https://12go.asia/en/travel/liaoning/jiangzhou", "12Go Link")</f>
        <v>12Go Link</v>
      </c>
      <c r="E1978" s="3" t="s">
        <v>94</v>
      </c>
      <c r="K1978" s="5"/>
    </row>
    <row r="1979">
      <c r="A1979" s="3" t="s">
        <v>1105</v>
      </c>
      <c r="B1979" s="3" t="s">
        <v>542</v>
      </c>
      <c r="C1979" s="3" t="s">
        <v>2119</v>
      </c>
      <c r="D1979" s="4" t="str">
        <f>HYPERLINK("https://12go.asia/en/travel/liaoning/jiaocheng", "12Go Link")</f>
        <v>12Go Link</v>
      </c>
      <c r="E1979" s="3" t="s">
        <v>94</v>
      </c>
      <c r="K1979" s="5"/>
    </row>
    <row r="1980">
      <c r="A1980" s="3" t="s">
        <v>1105</v>
      </c>
      <c r="B1980" s="3" t="s">
        <v>1246</v>
      </c>
      <c r="C1980" s="3" t="s">
        <v>2120</v>
      </c>
      <c r="D1980" s="4" t="str">
        <f>HYPERLINK("https://12go.asia/en/travel/liaoning/lianyungang", "12Go Link")</f>
        <v>12Go Link</v>
      </c>
      <c r="E1980" s="3" t="s">
        <v>94</v>
      </c>
      <c r="K1980" s="5"/>
    </row>
    <row r="1981">
      <c r="A1981" s="3" t="s">
        <v>1105</v>
      </c>
      <c r="B1981" s="3" t="s">
        <v>679</v>
      </c>
      <c r="C1981" s="3" t="s">
        <v>2121</v>
      </c>
      <c r="D1981" s="4" t="str">
        <f>HYPERLINK("https://12go.asia/en/travel/liaoning/mingxi", "12Go Link")</f>
        <v>12Go Link</v>
      </c>
      <c r="E1981" s="3" t="s">
        <v>94</v>
      </c>
      <c r="K1981" s="5"/>
    </row>
    <row r="1982">
      <c r="A1982" s="3" t="s">
        <v>1105</v>
      </c>
      <c r="B1982" s="3" t="s">
        <v>2122</v>
      </c>
      <c r="C1982" s="3" t="s">
        <v>2123</v>
      </c>
      <c r="D1982" s="4" t="str">
        <f>HYPERLINK("https://12go.asia/en/travel/liaoning/panjin", "12Go Link")</f>
        <v>12Go Link</v>
      </c>
      <c r="E1982" s="3" t="s">
        <v>94</v>
      </c>
      <c r="K1982" s="5"/>
    </row>
    <row r="1983">
      <c r="A1983" s="3" t="s">
        <v>1105</v>
      </c>
      <c r="B1983" s="3" t="s">
        <v>548</v>
      </c>
      <c r="C1983" s="3" t="s">
        <v>2124</v>
      </c>
      <c r="D1983" s="4" t="str">
        <f>HYPERLINK("https://12go.asia/en/travel/liaoning/qinghai", "12Go Link")</f>
        <v>12Go Link</v>
      </c>
      <c r="E1983" s="3" t="s">
        <v>94</v>
      </c>
      <c r="K1983" s="5"/>
    </row>
    <row r="1984">
      <c r="A1984" s="3" t="s">
        <v>1105</v>
      </c>
      <c r="B1984" s="3" t="s">
        <v>1249</v>
      </c>
      <c r="C1984" s="3" t="s">
        <v>2125</v>
      </c>
      <c r="D1984" s="4" t="str">
        <f>HYPERLINK("https://12go.asia/en/travel/liaoning/rizhao", "12Go Link")</f>
        <v>12Go Link</v>
      </c>
      <c r="E1984" s="3" t="s">
        <v>94</v>
      </c>
      <c r="K1984" s="5"/>
    </row>
    <row r="1985">
      <c r="A1985" s="3" t="s">
        <v>1105</v>
      </c>
      <c r="B1985" s="3" t="s">
        <v>560</v>
      </c>
      <c r="C1985" s="3" t="s">
        <v>2126</v>
      </c>
      <c r="D1985" s="4" t="str">
        <f>HYPERLINK("https://12go.asia/en/travel/liaoning/shuangliu", "12Go Link")</f>
        <v>12Go Link</v>
      </c>
      <c r="E1985" s="3" t="s">
        <v>94</v>
      </c>
      <c r="K1985" s="5"/>
    </row>
    <row r="1986">
      <c r="A1986" s="3" t="s">
        <v>1105</v>
      </c>
      <c r="B1986" s="3" t="s">
        <v>2127</v>
      </c>
      <c r="C1986" s="3" t="s">
        <v>2128</v>
      </c>
      <c r="D1986" s="4" t="str">
        <f>HYPERLINK("https://12go.asia/en/travel/liaoning/shuangyashan", "12Go Link")</f>
        <v>12Go Link</v>
      </c>
      <c r="E1986" s="3" t="s">
        <v>94</v>
      </c>
      <c r="K1986" s="5"/>
    </row>
    <row r="1987">
      <c r="A1987" s="3" t="s">
        <v>1105</v>
      </c>
      <c r="B1987" s="3" t="s">
        <v>2129</v>
      </c>
      <c r="C1987" s="3" t="s">
        <v>2130</v>
      </c>
      <c r="D1987" s="4" t="str">
        <f>HYPERLINK("https://12go.asia/en/travel/liaoning/songyuan", "12Go Link")</f>
        <v>12Go Link</v>
      </c>
      <c r="E1987" s="3" t="s">
        <v>94</v>
      </c>
      <c r="K1987" s="5"/>
    </row>
    <row r="1988">
      <c r="A1988" s="3" t="s">
        <v>1105</v>
      </c>
      <c r="B1988" s="3" t="s">
        <v>883</v>
      </c>
      <c r="C1988" s="3" t="s">
        <v>2131</v>
      </c>
      <c r="D1988" s="4" t="str">
        <f>HYPERLINK("https://12go.asia/en/travel/liaoning/taian", "12Go Link")</f>
        <v>12Go Link</v>
      </c>
      <c r="E1988" s="3" t="s">
        <v>94</v>
      </c>
      <c r="K1988" s="5"/>
    </row>
    <row r="1989">
      <c r="A1989" s="3" t="s">
        <v>1105</v>
      </c>
      <c r="B1989" s="3" t="s">
        <v>997</v>
      </c>
      <c r="C1989" s="3" t="s">
        <v>2132</v>
      </c>
      <c r="D1989" s="4" t="str">
        <f>HYPERLINK("https://12go.asia/en/travel/liaoning/taian-shandong", "12Go Link")</f>
        <v>12Go Link</v>
      </c>
      <c r="E1989" s="3" t="s">
        <v>94</v>
      </c>
      <c r="K1989" s="5"/>
    </row>
    <row r="1990">
      <c r="A1990" s="3" t="s">
        <v>1105</v>
      </c>
      <c r="B1990" s="3" t="s">
        <v>564</v>
      </c>
      <c r="C1990" s="3" t="s">
        <v>2133</v>
      </c>
      <c r="D1990" s="4" t="str">
        <f>HYPERLINK("https://12go.asia/en/travel/liaoning/tianxin", "12Go Link")</f>
        <v>12Go Link</v>
      </c>
      <c r="E1990" s="3" t="s">
        <v>94</v>
      </c>
      <c r="K1990" s="5"/>
    </row>
    <row r="1991">
      <c r="A1991" s="3" t="s">
        <v>1105</v>
      </c>
      <c r="B1991" s="3" t="s">
        <v>790</v>
      </c>
      <c r="C1991" s="3" t="s">
        <v>2134</v>
      </c>
      <c r="D1991" s="4" t="str">
        <f>HYPERLINK("https://12go.asia/en/travel/liaoning/weifang", "12Go Link")</f>
        <v>12Go Link</v>
      </c>
      <c r="E1991" s="3" t="s">
        <v>94</v>
      </c>
      <c r="K1991" s="5"/>
    </row>
    <row r="1992">
      <c r="A1992" s="3" t="s">
        <v>1105</v>
      </c>
      <c r="B1992" s="3" t="s">
        <v>566</v>
      </c>
      <c r="C1992" s="3" t="s">
        <v>2135</v>
      </c>
      <c r="D1992" s="4" t="str">
        <f>HYPERLINK("https://12go.asia/en/travel/liaoning/wenjiang", "12Go Link")</f>
        <v>12Go Link</v>
      </c>
      <c r="E1992" s="3" t="s">
        <v>94</v>
      </c>
      <c r="K1992" s="5"/>
    </row>
    <row r="1993">
      <c r="A1993" s="3" t="s">
        <v>1105</v>
      </c>
      <c r="B1993" s="3" t="s">
        <v>1674</v>
      </c>
      <c r="C1993" s="3" t="s">
        <v>2136</v>
      </c>
      <c r="D1993" s="4" t="str">
        <f>HYPERLINK("https://12go.asia/en/travel/liaoning/wuhu", "12Go Link")</f>
        <v>12Go Link</v>
      </c>
      <c r="E1993" s="3" t="s">
        <v>94</v>
      </c>
      <c r="K1993" s="5"/>
    </row>
    <row r="1994">
      <c r="A1994" s="3" t="s">
        <v>1105</v>
      </c>
      <c r="B1994" s="3" t="s">
        <v>712</v>
      </c>
      <c r="C1994" s="3" t="s">
        <v>2137</v>
      </c>
      <c r="D1994" s="4" t="str">
        <f>HYPERLINK("https://12go.asia/en/travel/liaoning/xihu", "12Go Link")</f>
        <v>12Go Link</v>
      </c>
      <c r="E1994" s="3" t="s">
        <v>94</v>
      </c>
      <c r="K1994" s="5"/>
    </row>
    <row r="1995">
      <c r="A1995" s="3" t="s">
        <v>1105</v>
      </c>
      <c r="B1995" s="3" t="s">
        <v>570</v>
      </c>
      <c r="C1995" s="3" t="s">
        <v>2138</v>
      </c>
      <c r="D1995" s="4" t="str">
        <f>HYPERLINK("https://12go.asia/en/travel/liaoning/xining", "12Go Link")</f>
        <v>12Go Link</v>
      </c>
      <c r="E1995" s="3" t="s">
        <v>94</v>
      </c>
      <c r="K1995" s="5"/>
    </row>
    <row r="1996">
      <c r="A1996" s="3" t="s">
        <v>1105</v>
      </c>
      <c r="B1996" s="3" t="s">
        <v>573</v>
      </c>
      <c r="C1996" s="3" t="s">
        <v>2139</v>
      </c>
      <c r="D1996" s="4" t="str">
        <f>HYPERLINK("https://12go.asia/en/travel/liaoning/xinyi", "12Go Link")</f>
        <v>12Go Link</v>
      </c>
      <c r="E1996" s="3" t="s">
        <v>94</v>
      </c>
      <c r="K1996" s="5"/>
    </row>
    <row r="1997">
      <c r="A1997" s="3" t="s">
        <v>1105</v>
      </c>
      <c r="B1997" s="3" t="s">
        <v>577</v>
      </c>
      <c r="C1997" s="3" t="s">
        <v>2140</v>
      </c>
      <c r="D1997" s="4" t="str">
        <f>HYPERLINK("https://12go.asia/en/travel/liaoning/xunxian", "12Go Link")</f>
        <v>12Go Link</v>
      </c>
      <c r="E1997" s="3" t="s">
        <v>94</v>
      </c>
      <c r="K1997" s="5"/>
    </row>
    <row r="1998">
      <c r="A1998" s="3" t="s">
        <v>1105</v>
      </c>
      <c r="B1998" s="3" t="s">
        <v>899</v>
      </c>
      <c r="C1998" s="3" t="s">
        <v>2141</v>
      </c>
      <c r="D1998" s="4" t="str">
        <f>HYPERLINK("https://12go.asia/en/travel/liaoning/yichun-heilongjiang", "12Go Link")</f>
        <v>12Go Link</v>
      </c>
      <c r="E1998" s="3" t="s">
        <v>94</v>
      </c>
      <c r="K1998" s="5"/>
    </row>
    <row r="1999">
      <c r="A1999" s="3" t="s">
        <v>1105</v>
      </c>
      <c r="B1999" s="3" t="s">
        <v>722</v>
      </c>
      <c r="C1999" s="3" t="s">
        <v>2142</v>
      </c>
      <c r="D1999" s="4" t="str">
        <f>HYPERLINK("https://12go.asia/en/travel/liaoning/yijiang", "12Go Link")</f>
        <v>12Go Link</v>
      </c>
      <c r="E1999" s="3" t="s">
        <v>94</v>
      </c>
      <c r="K1999" s="5"/>
    </row>
    <row r="2000">
      <c r="A2000" s="3" t="s">
        <v>1105</v>
      </c>
      <c r="B2000" s="3" t="s">
        <v>730</v>
      </c>
      <c r="C2000" s="3" t="s">
        <v>2143</v>
      </c>
      <c r="D2000" s="4" t="str">
        <f>HYPERLINK("https://12go.asia/en/travel/liaoning/blagoveshchensk", "12Go Link")</f>
        <v>12Go Link</v>
      </c>
      <c r="E2000" s="3" t="s">
        <v>94</v>
      </c>
      <c r="K2000" s="5"/>
    </row>
    <row r="2001">
      <c r="A2001" s="3" t="s">
        <v>663</v>
      </c>
      <c r="B2001" s="3" t="s">
        <v>1958</v>
      </c>
      <c r="C2001" s="3" t="s">
        <v>2144</v>
      </c>
      <c r="D2001" s="4" t="str">
        <f>HYPERLINK("https://12go.asia/en/travel/liaoyuan/jilin", "12Go Link")</f>
        <v>12Go Link</v>
      </c>
      <c r="E2001" s="3" t="s">
        <v>94</v>
      </c>
      <c r="K2001" s="5"/>
    </row>
    <row r="2002">
      <c r="A2002" s="3" t="s">
        <v>663</v>
      </c>
      <c r="B2002" s="3" t="s">
        <v>1105</v>
      </c>
      <c r="C2002" s="3" t="s">
        <v>2145</v>
      </c>
      <c r="D2002" s="4" t="str">
        <f>HYPERLINK("https://12go.asia/en/travel/liaoyuan/liaoning", "12Go Link")</f>
        <v>12Go Link</v>
      </c>
      <c r="E2002" s="3" t="s">
        <v>94</v>
      </c>
      <c r="K2002" s="5"/>
    </row>
    <row r="2003">
      <c r="A2003" s="3" t="s">
        <v>663</v>
      </c>
      <c r="B2003" s="3" t="s">
        <v>554</v>
      </c>
      <c r="C2003" s="3" t="s">
        <v>2146</v>
      </c>
      <c r="D2003" s="4" t="str">
        <f>HYPERLINK("https://12go.asia/en/travel/liaoyuan/shenyang", "12Go Link")</f>
        <v>12Go Link</v>
      </c>
      <c r="E2003" s="3" t="s">
        <v>94</v>
      </c>
      <c r="K2003" s="5"/>
    </row>
    <row r="2004">
      <c r="A2004" s="3" t="s">
        <v>663</v>
      </c>
      <c r="B2004" s="3" t="s">
        <v>554</v>
      </c>
      <c r="C2004" s="3" t="s">
        <v>2147</v>
      </c>
      <c r="D2004" s="4" t="str">
        <f>HYPERLINK("https://12go.asia/en/travel/liaoyuan/shenyang-north", "12Go Link")</f>
        <v>12Go Link</v>
      </c>
      <c r="E2004" s="3" t="s">
        <v>94</v>
      </c>
      <c r="K2004" s="5"/>
    </row>
    <row r="2005">
      <c r="A2005" s="3" t="s">
        <v>663</v>
      </c>
      <c r="B2005" s="3" t="s">
        <v>2148</v>
      </c>
      <c r="C2005" s="3" t="s">
        <v>2149</v>
      </c>
      <c r="D2005" s="4" t="str">
        <f>HYPERLINK("https://12go.asia/en/travel/liaoyuan/siping", "12Go Link")</f>
        <v>12Go Link</v>
      </c>
      <c r="E2005" s="3" t="s">
        <v>94</v>
      </c>
      <c r="K2005" s="5"/>
    </row>
    <row r="2006">
      <c r="A2006" s="3" t="s">
        <v>2150</v>
      </c>
      <c r="B2006" s="3" t="s">
        <v>679</v>
      </c>
      <c r="C2006" s="3" t="s">
        <v>2151</v>
      </c>
      <c r="D2006" s="4" t="str">
        <f>HYPERLINK("https://12go.asia/en/travel/lijiang/mingxi", "12Go Link")</f>
        <v>12Go Link</v>
      </c>
      <c r="E2006" s="3" t="s">
        <v>94</v>
      </c>
      <c r="K2006" s="5"/>
    </row>
    <row r="2007">
      <c r="A2007" s="3" t="s">
        <v>2150</v>
      </c>
      <c r="B2007" s="3" t="s">
        <v>1534</v>
      </c>
      <c r="C2007" s="3" t="s">
        <v>2152</v>
      </c>
      <c r="D2007" s="4" t="str">
        <f>HYPERLINK("https://12go.asia/en/travel/lijiang/nanning-east", "12Go Link")</f>
        <v>12Go Link</v>
      </c>
      <c r="E2007" s="3" t="s">
        <v>94</v>
      </c>
      <c r="K2007" s="5"/>
    </row>
    <row r="2008">
      <c r="A2008" s="3" t="s">
        <v>2150</v>
      </c>
      <c r="B2008" s="3" t="s">
        <v>2153</v>
      </c>
      <c r="C2008" s="3" t="s">
        <v>2154</v>
      </c>
      <c r="D2008" s="4" t="str">
        <f>HYPERLINK("https://12go.asia/en/travel/lijiang/xiangyun-county", "12Go Link")</f>
        <v>12Go Link</v>
      </c>
      <c r="E2008" s="3" t="s">
        <v>94</v>
      </c>
      <c r="K2008" s="5"/>
    </row>
    <row r="2009">
      <c r="A2009" s="3" t="s">
        <v>1342</v>
      </c>
      <c r="B2009" s="3" t="s">
        <v>1341</v>
      </c>
      <c r="C2009" s="3" t="s">
        <v>2155</v>
      </c>
      <c r="D2009" s="4" t="str">
        <f>HYPERLINK("https://12go.asia/en/travel/lincang/dali", "12Go Link")</f>
        <v>12Go Link</v>
      </c>
      <c r="E2009" s="3" t="s">
        <v>94</v>
      </c>
      <c r="K2009" s="5"/>
    </row>
    <row r="2010">
      <c r="A2010" s="3" t="s">
        <v>1342</v>
      </c>
      <c r="B2010" s="3" t="s">
        <v>1341</v>
      </c>
      <c r="C2010" s="3" t="s">
        <v>2156</v>
      </c>
      <c r="D2010" s="4" t="str">
        <f>HYPERLINK("https://12go.asia/en/travel/lincang/dali-yunnan", "12Go Link")</f>
        <v>12Go Link</v>
      </c>
      <c r="E2010" s="3" t="s">
        <v>94</v>
      </c>
      <c r="K2010" s="5"/>
    </row>
    <row r="2011">
      <c r="A2011" s="3" t="s">
        <v>1342</v>
      </c>
      <c r="B2011" s="3" t="s">
        <v>1529</v>
      </c>
      <c r="C2011" s="3" t="s">
        <v>2157</v>
      </c>
      <c r="D2011" s="4" t="str">
        <f>HYPERLINK("https://12go.asia/en/travel/lincang/kunming", "12Go Link")</f>
        <v>12Go Link</v>
      </c>
      <c r="E2011" s="3" t="s">
        <v>94</v>
      </c>
      <c r="K2011" s="5"/>
    </row>
    <row r="2012">
      <c r="A2012" s="3" t="s">
        <v>1342</v>
      </c>
      <c r="B2012" s="3" t="s">
        <v>1529</v>
      </c>
      <c r="C2012" s="3" t="s">
        <v>2158</v>
      </c>
      <c r="D2012" s="4" t="str">
        <f>HYPERLINK("https://12go.asia/en/travel/lincang/kunming-south", "12Go Link")</f>
        <v>12Go Link</v>
      </c>
      <c r="E2012" s="3" t="s">
        <v>94</v>
      </c>
      <c r="K2012" s="5"/>
    </row>
    <row r="2013">
      <c r="A2013" s="3" t="s">
        <v>1342</v>
      </c>
      <c r="B2013" s="3" t="s">
        <v>1540</v>
      </c>
      <c r="C2013" s="3" t="s">
        <v>2159</v>
      </c>
      <c r="D2013" s="4" t="str">
        <f>HYPERLINK("https://12go.asia/en/travel/lincang/yunnan", "12Go Link")</f>
        <v>12Go Link</v>
      </c>
      <c r="E2013" s="3" t="s">
        <v>94</v>
      </c>
      <c r="K2013" s="5"/>
    </row>
    <row r="2014">
      <c r="A2014" s="3" t="s">
        <v>2160</v>
      </c>
      <c r="B2014" s="3" t="s">
        <v>2161</v>
      </c>
      <c r="C2014" s="3" t="s">
        <v>2162</v>
      </c>
      <c r="D2014" s="4" t="str">
        <f>HYPERLINK("https://12go.asia/en/travel/linfen/beidaihe", "12Go Link")</f>
        <v>12Go Link</v>
      </c>
      <c r="E2014" s="3" t="s">
        <v>94</v>
      </c>
      <c r="K2014" s="5"/>
    </row>
    <row r="2015">
      <c r="A2015" s="3" t="s">
        <v>2160</v>
      </c>
      <c r="B2015" s="3" t="s">
        <v>745</v>
      </c>
      <c r="C2015" s="3" t="s">
        <v>2163</v>
      </c>
      <c r="D2015" s="4" t="str">
        <f>HYPERLINK("https://12go.asia/en/travel/linfen/changsha", "12Go Link")</f>
        <v>12Go Link</v>
      </c>
      <c r="E2015" s="3" t="s">
        <v>94</v>
      </c>
      <c r="K2015" s="5"/>
    </row>
    <row r="2016">
      <c r="A2016" s="3" t="s">
        <v>2160</v>
      </c>
      <c r="B2016" s="3" t="s">
        <v>520</v>
      </c>
      <c r="C2016" s="3" t="s">
        <v>2164</v>
      </c>
      <c r="D2016" s="4" t="str">
        <f>HYPERLINK("https://12go.asia/en/travel/linfen/gansu", "12Go Link")</f>
        <v>12Go Link</v>
      </c>
      <c r="E2016" s="3" t="s">
        <v>94</v>
      </c>
      <c r="K2016" s="5"/>
    </row>
    <row r="2017">
      <c r="A2017" s="3" t="s">
        <v>2160</v>
      </c>
      <c r="B2017" s="3" t="s">
        <v>530</v>
      </c>
      <c r="C2017" s="3" t="s">
        <v>2165</v>
      </c>
      <c r="D2017" s="4" t="str">
        <f>HYPERLINK("https://12go.asia/en/travel/linfen/hebei", "12Go Link")</f>
        <v>12Go Link</v>
      </c>
      <c r="E2017" s="3" t="s">
        <v>94</v>
      </c>
      <c r="K2017" s="5"/>
    </row>
    <row r="2018">
      <c r="A2018" s="3" t="s">
        <v>2160</v>
      </c>
      <c r="B2018" s="3" t="s">
        <v>1033</v>
      </c>
      <c r="C2018" s="3" t="s">
        <v>2166</v>
      </c>
      <c r="D2018" s="4" t="str">
        <f>HYPERLINK("https://12go.asia/en/travel/linfen/henan", "12Go Link")</f>
        <v>12Go Link</v>
      </c>
      <c r="E2018" s="3" t="s">
        <v>94</v>
      </c>
      <c r="K2018" s="5"/>
    </row>
    <row r="2019">
      <c r="A2019" s="3" t="s">
        <v>2160</v>
      </c>
      <c r="B2019" s="3" t="s">
        <v>860</v>
      </c>
      <c r="C2019" s="3" t="s">
        <v>2167</v>
      </c>
      <c r="D2019" s="4" t="str">
        <f>HYPERLINK("https://12go.asia/en/travel/linfen/hohhot", "12Go Link")</f>
        <v>12Go Link</v>
      </c>
      <c r="E2019" s="3" t="s">
        <v>94</v>
      </c>
      <c r="K2019" s="5"/>
    </row>
    <row r="2020">
      <c r="A2020" s="3" t="s">
        <v>2160</v>
      </c>
      <c r="B2020" s="3" t="s">
        <v>860</v>
      </c>
      <c r="C2020" s="3" t="s">
        <v>2168</v>
      </c>
      <c r="D2020" s="4" t="str">
        <f>HYPERLINK("https://12go.asia/en/travel/linfen/hohhot-east", "12Go Link")</f>
        <v>12Go Link</v>
      </c>
      <c r="E2020" s="3" t="s">
        <v>94</v>
      </c>
      <c r="K2020" s="5"/>
    </row>
    <row r="2021">
      <c r="A2021" s="3" t="s">
        <v>2160</v>
      </c>
      <c r="B2021" s="3" t="s">
        <v>536</v>
      </c>
      <c r="C2021" s="3" t="s">
        <v>2169</v>
      </c>
      <c r="D2021" s="4" t="str">
        <f>HYPERLINK("https://12go.asia/en/travel/linfen/hunan", "12Go Link")</f>
        <v>12Go Link</v>
      </c>
      <c r="E2021" s="3" t="s">
        <v>94</v>
      </c>
      <c r="K2021" s="5"/>
    </row>
    <row r="2022">
      <c r="A2022" s="3" t="s">
        <v>2160</v>
      </c>
      <c r="B2022" s="3" t="s">
        <v>540</v>
      </c>
      <c r="C2022" s="3" t="s">
        <v>2170</v>
      </c>
      <c r="D2022" s="4" t="str">
        <f>HYPERLINK("https://12go.asia/en/travel/linfen/jiangzhou", "12Go Link")</f>
        <v>12Go Link</v>
      </c>
      <c r="E2022" s="3" t="s">
        <v>94</v>
      </c>
      <c r="K2022" s="5"/>
    </row>
    <row r="2023">
      <c r="A2023" s="3" t="s">
        <v>2160</v>
      </c>
      <c r="B2023" s="3" t="s">
        <v>544</v>
      </c>
      <c r="C2023" s="3" t="s">
        <v>2171</v>
      </c>
      <c r="D2023" s="4" t="str">
        <f>HYPERLINK("https://12go.asia/en/travel/linfen-west/lanzhou-west", "12Go Link")</f>
        <v>12Go Link</v>
      </c>
      <c r="E2023" s="3" t="s">
        <v>94</v>
      </c>
      <c r="K2023" s="5"/>
    </row>
    <row r="2024">
      <c r="A2024" s="3" t="s">
        <v>2160</v>
      </c>
      <c r="B2024" s="3" t="s">
        <v>544</v>
      </c>
      <c r="C2024" s="3" t="s">
        <v>2172</v>
      </c>
      <c r="D2024" s="4" t="str">
        <f>HYPERLINK("https://12go.asia/en/travel/linfen/lanzhou", "12Go Link")</f>
        <v>12Go Link</v>
      </c>
      <c r="E2024" s="3" t="s">
        <v>94</v>
      </c>
      <c r="K2024" s="5"/>
    </row>
    <row r="2025">
      <c r="A2025" s="3" t="s">
        <v>2160</v>
      </c>
      <c r="B2025" s="3" t="s">
        <v>1609</v>
      </c>
      <c r="C2025" s="3" t="s">
        <v>2173</v>
      </c>
      <c r="D2025" s="4" t="str">
        <f>HYPERLINK("https://12go.asia/en/travel/linfen-west/mianyang", "12Go Link")</f>
        <v>12Go Link</v>
      </c>
      <c r="E2025" s="3" t="s">
        <v>94</v>
      </c>
      <c r="K2025" s="5"/>
    </row>
    <row r="2026">
      <c r="A2026" s="3" t="s">
        <v>2160</v>
      </c>
      <c r="B2026" s="3" t="s">
        <v>1609</v>
      </c>
      <c r="C2026" s="3" t="s">
        <v>2174</v>
      </c>
      <c r="D2026" s="4" t="str">
        <f>HYPERLINK("https://12go.asia/en/travel/linfen/mianyang", "12Go Link")</f>
        <v>12Go Link</v>
      </c>
      <c r="E2026" s="3" t="s">
        <v>94</v>
      </c>
      <c r="K2026" s="5"/>
    </row>
    <row r="2027">
      <c r="A2027" s="3" t="s">
        <v>2160</v>
      </c>
      <c r="B2027" s="3" t="s">
        <v>986</v>
      </c>
      <c r="C2027" s="3" t="s">
        <v>2175</v>
      </c>
      <c r="D2027" s="4" t="str">
        <f>HYPERLINK("https://12go.asia/en/travel/linfen-west/pingyao-ancient-city", "12Go Link")</f>
        <v>12Go Link</v>
      </c>
      <c r="E2027" s="3" t="s">
        <v>94</v>
      </c>
      <c r="K2027" s="5"/>
    </row>
    <row r="2028">
      <c r="A2028" s="3" t="s">
        <v>2160</v>
      </c>
      <c r="B2028" s="3" t="s">
        <v>986</v>
      </c>
      <c r="C2028" s="3" t="s">
        <v>2176</v>
      </c>
      <c r="D2028" s="4" t="str">
        <f>HYPERLINK("https://12go.asia/en/travel/linfen/pingyao", "12Go Link")</f>
        <v>12Go Link</v>
      </c>
      <c r="E2028" s="3" t="s">
        <v>94</v>
      </c>
      <c r="K2028" s="5"/>
    </row>
    <row r="2029">
      <c r="A2029" s="3" t="s">
        <v>2160</v>
      </c>
      <c r="B2029" s="3" t="s">
        <v>878</v>
      </c>
      <c r="C2029" s="3" t="s">
        <v>2177</v>
      </c>
      <c r="D2029" s="4" t="str">
        <f>HYPERLINK("https://12go.asia/en/travel/linfen-west/shijiazhuang-east", "12Go Link")</f>
        <v>12Go Link</v>
      </c>
      <c r="E2029" s="3" t="s">
        <v>94</v>
      </c>
      <c r="K2029" s="5"/>
    </row>
    <row r="2030">
      <c r="A2030" s="3" t="s">
        <v>2160</v>
      </c>
      <c r="B2030" s="3" t="s">
        <v>560</v>
      </c>
      <c r="C2030" s="3" t="s">
        <v>2178</v>
      </c>
      <c r="D2030" s="4" t="str">
        <f>HYPERLINK("https://12go.asia/en/travel/linfen/shuangliu", "12Go Link")</f>
        <v>12Go Link</v>
      </c>
      <c r="E2030" s="3" t="s">
        <v>94</v>
      </c>
      <c r="K2030" s="5"/>
    </row>
    <row r="2031">
      <c r="A2031" s="3" t="s">
        <v>2160</v>
      </c>
      <c r="B2031" s="3" t="s">
        <v>1256</v>
      </c>
      <c r="C2031" s="3" t="s">
        <v>2179</v>
      </c>
      <c r="D2031" s="4" t="str">
        <f>HYPERLINK("https://12go.asia/en/travel/linfen/suzhou", "12Go Link")</f>
        <v>12Go Link</v>
      </c>
      <c r="E2031" s="3" t="s">
        <v>94</v>
      </c>
      <c r="K2031" s="5"/>
    </row>
    <row r="2032">
      <c r="A2032" s="3" t="s">
        <v>2160</v>
      </c>
      <c r="B2032" s="3" t="s">
        <v>883</v>
      </c>
      <c r="C2032" s="3" t="s">
        <v>2180</v>
      </c>
      <c r="D2032" s="4" t="str">
        <f>HYPERLINK("https://12go.asia/en/travel/linfen/taian", "12Go Link")</f>
        <v>12Go Link</v>
      </c>
      <c r="E2032" s="3" t="s">
        <v>94</v>
      </c>
      <c r="K2032" s="5"/>
    </row>
    <row r="2033">
      <c r="A2033" s="3" t="s">
        <v>2160</v>
      </c>
      <c r="B2033" s="3" t="s">
        <v>564</v>
      </c>
      <c r="C2033" s="3" t="s">
        <v>2181</v>
      </c>
      <c r="D2033" s="4" t="str">
        <f>HYPERLINK("https://12go.asia/en/travel/linfen/tianxin", "12Go Link")</f>
        <v>12Go Link</v>
      </c>
      <c r="E2033" s="3" t="s">
        <v>94</v>
      </c>
      <c r="K2033" s="5"/>
    </row>
    <row r="2034">
      <c r="A2034" s="3" t="s">
        <v>2160</v>
      </c>
      <c r="B2034" s="3" t="s">
        <v>568</v>
      </c>
      <c r="C2034" s="3" t="s">
        <v>2182</v>
      </c>
      <c r="D2034" s="4" t="str">
        <f>HYPERLINK("https://12go.asia/en/travel/linfen/xigu", "12Go Link")</f>
        <v>12Go Link</v>
      </c>
      <c r="E2034" s="3" t="s">
        <v>94</v>
      </c>
      <c r="K2034" s="5"/>
    </row>
    <row r="2035">
      <c r="A2035" s="3" t="s">
        <v>665</v>
      </c>
      <c r="B2035" s="3" t="s">
        <v>593</v>
      </c>
      <c r="C2035" s="3" t="s">
        <v>2183</v>
      </c>
      <c r="D2035" s="4" t="str">
        <f>HYPERLINK("https://12go.asia/en/travel/lingshi-county/beijing", "12Go Link")</f>
        <v>12Go Link</v>
      </c>
      <c r="E2035" s="3" t="s">
        <v>94</v>
      </c>
      <c r="K2035" s="5"/>
    </row>
    <row r="2036">
      <c r="A2036" s="3" t="s">
        <v>665</v>
      </c>
      <c r="B2036" s="3" t="s">
        <v>552</v>
      </c>
      <c r="C2036" s="3" t="s">
        <v>2184</v>
      </c>
      <c r="D2036" s="4" t="str">
        <f>HYPERLINK("https://12go.asia/en/travel/lingshi-county/shaanxi", "12Go Link")</f>
        <v>12Go Link</v>
      </c>
      <c r="E2036" s="3" t="s">
        <v>94</v>
      </c>
      <c r="K2036" s="5"/>
    </row>
    <row r="2037">
      <c r="A2037" s="3" t="s">
        <v>665</v>
      </c>
      <c r="B2037" s="3" t="s">
        <v>801</v>
      </c>
      <c r="C2037" s="3" t="s">
        <v>2185</v>
      </c>
      <c r="D2037" s="4" t="str">
        <f>HYPERLINK("https://12go.asia/en/travel/lingshi-county/xian", "12Go Link")</f>
        <v>12Go Link</v>
      </c>
      <c r="E2037" s="3" t="s">
        <v>94</v>
      </c>
      <c r="K2037" s="5"/>
    </row>
    <row r="2038">
      <c r="A2038" s="3" t="s">
        <v>2186</v>
      </c>
      <c r="B2038" s="3" t="s">
        <v>740</v>
      </c>
      <c r="C2038" s="3" t="s">
        <v>2187</v>
      </c>
      <c r="D2038" s="4" t="str">
        <f>HYPERLINK("https://12go.asia/en/travel/linyi/changchun", "12Go Link")</f>
        <v>12Go Link</v>
      </c>
      <c r="E2038" s="3" t="s">
        <v>94</v>
      </c>
      <c r="K2038" s="5"/>
    </row>
    <row r="2039">
      <c r="A2039" s="3" t="s">
        <v>2186</v>
      </c>
      <c r="B2039" s="3" t="s">
        <v>526</v>
      </c>
      <c r="C2039" s="3" t="s">
        <v>2188</v>
      </c>
      <c r="D2039" s="4" t="str">
        <f>HYPERLINK("https://12go.asia/en/travel/linyi/harbin", "12Go Link")</f>
        <v>12Go Link</v>
      </c>
      <c r="E2039" s="3" t="s">
        <v>94</v>
      </c>
      <c r="K2039" s="5"/>
    </row>
    <row r="2040">
      <c r="A2040" s="3" t="s">
        <v>2186</v>
      </c>
      <c r="B2040" s="3" t="s">
        <v>1081</v>
      </c>
      <c r="C2040" s="3" t="s">
        <v>2189</v>
      </c>
      <c r="D2040" s="4" t="str">
        <f>HYPERLINK("https://12go.asia/en/travel/linyi/hefei", "12Go Link")</f>
        <v>12Go Link</v>
      </c>
      <c r="E2040" s="3" t="s">
        <v>94</v>
      </c>
      <c r="K2040" s="5"/>
    </row>
    <row r="2041">
      <c r="A2041" s="3" t="s">
        <v>2186</v>
      </c>
      <c r="B2041" s="3" t="s">
        <v>532</v>
      </c>
      <c r="C2041" s="3" t="s">
        <v>2190</v>
      </c>
      <c r="D2041" s="4" t="str">
        <f>HYPERLINK("https://12go.asia/en/travel/linyi/heilongjiang", "12Go Link")</f>
        <v>12Go Link</v>
      </c>
      <c r="E2041" s="3" t="s">
        <v>94</v>
      </c>
      <c r="K2041" s="5"/>
    </row>
    <row r="2042">
      <c r="A2042" s="3" t="s">
        <v>2186</v>
      </c>
      <c r="B2042" s="3" t="s">
        <v>2191</v>
      </c>
      <c r="C2042" s="3" t="s">
        <v>2192</v>
      </c>
      <c r="D2042" s="4" t="str">
        <f>HYPERLINK("https://12go.asia/en/travel/linyi/ledong-li", "12Go Link")</f>
        <v>12Go Link</v>
      </c>
      <c r="E2042" s="3" t="s">
        <v>94</v>
      </c>
      <c r="K2042" s="5"/>
    </row>
    <row r="2043">
      <c r="A2043" s="3" t="s">
        <v>2186</v>
      </c>
      <c r="B2043" s="3" t="s">
        <v>1105</v>
      </c>
      <c r="C2043" s="3" t="s">
        <v>2193</v>
      </c>
      <c r="D2043" s="4" t="str">
        <f>HYPERLINK("https://12go.asia/en/travel/linyi/liaoning", "12Go Link")</f>
        <v>12Go Link</v>
      </c>
      <c r="E2043" s="3" t="s">
        <v>94</v>
      </c>
      <c r="K2043" s="5"/>
    </row>
    <row r="2044">
      <c r="A2044" s="3" t="s">
        <v>2186</v>
      </c>
      <c r="B2044" s="3" t="s">
        <v>1057</v>
      </c>
      <c r="C2044" s="3" t="s">
        <v>2194</v>
      </c>
      <c r="D2044" s="4" t="str">
        <f>HYPERLINK("https://12go.asia/en/travel/linyi/shangqiu", "12Go Link")</f>
        <v>12Go Link</v>
      </c>
      <c r="E2044" s="3" t="s">
        <v>94</v>
      </c>
      <c r="K2044" s="5"/>
    </row>
    <row r="2045">
      <c r="A2045" s="3" t="s">
        <v>2186</v>
      </c>
      <c r="B2045" s="3" t="s">
        <v>554</v>
      </c>
      <c r="C2045" s="3" t="s">
        <v>2195</v>
      </c>
      <c r="D2045" s="4" t="str">
        <f>HYPERLINK("https://12go.asia/en/travel/linyi/shenyang-north", "12Go Link")</f>
        <v>12Go Link</v>
      </c>
      <c r="E2045" s="3" t="s">
        <v>94</v>
      </c>
      <c r="K2045" s="5"/>
    </row>
    <row r="2046">
      <c r="A2046" s="3" t="s">
        <v>2186</v>
      </c>
      <c r="B2046" s="3" t="s">
        <v>554</v>
      </c>
      <c r="C2046" s="3" t="s">
        <v>2196</v>
      </c>
      <c r="D2046" s="4" t="str">
        <f>HYPERLINK("https://12go.asia/en/travel/linyi/shenyang", "12Go Link")</f>
        <v>12Go Link</v>
      </c>
      <c r="E2046" s="3" t="s">
        <v>94</v>
      </c>
      <c r="K2046" s="5"/>
    </row>
    <row r="2047">
      <c r="A2047" s="3" t="s">
        <v>2186</v>
      </c>
      <c r="B2047" s="3" t="s">
        <v>698</v>
      </c>
      <c r="C2047" s="3" t="s">
        <v>2197</v>
      </c>
      <c r="D2047" s="4" t="str">
        <f>HYPERLINK("https://12go.asia/en/travel/linyi/sihui", "12Go Link")</f>
        <v>12Go Link</v>
      </c>
      <c r="E2047" s="3" t="s">
        <v>94</v>
      </c>
      <c r="K2047" s="5"/>
    </row>
    <row r="2048">
      <c r="A2048" s="3" t="s">
        <v>2186</v>
      </c>
      <c r="B2048" s="3" t="s">
        <v>823</v>
      </c>
      <c r="C2048" s="3" t="s">
        <v>2198</v>
      </c>
      <c r="D2048" s="4" t="str">
        <f>HYPERLINK("https://12go.asia/en/travel/linyi-north/tianjin", "12Go Link")</f>
        <v>12Go Link</v>
      </c>
      <c r="E2048" s="3" t="s">
        <v>94</v>
      </c>
      <c r="K2048" s="5"/>
    </row>
    <row r="2049">
      <c r="A2049" s="3" t="s">
        <v>2186</v>
      </c>
      <c r="B2049" s="3" t="s">
        <v>823</v>
      </c>
      <c r="C2049" s="3" t="s">
        <v>2199</v>
      </c>
      <c r="D2049" s="4" t="str">
        <f>HYPERLINK("https://12go.asia/en/travel/linyi-north/tianjin-south", "12Go Link")</f>
        <v>12Go Link</v>
      </c>
      <c r="E2049" s="3" t="s">
        <v>94</v>
      </c>
      <c r="K2049" s="5"/>
    </row>
    <row r="2050">
      <c r="A2050" s="3" t="s">
        <v>2186</v>
      </c>
      <c r="B2050" s="3" t="s">
        <v>823</v>
      </c>
      <c r="C2050" s="3" t="s">
        <v>2200</v>
      </c>
      <c r="D2050" s="4" t="str">
        <f>HYPERLINK("https://12go.asia/en/travel/linyi-north/tianjin-west", "12Go Link")</f>
        <v>12Go Link</v>
      </c>
      <c r="E2050" s="3" t="s">
        <v>94</v>
      </c>
      <c r="K2050" s="5"/>
    </row>
    <row r="2051">
      <c r="A2051" s="3" t="s">
        <v>2186</v>
      </c>
      <c r="B2051" s="3" t="s">
        <v>712</v>
      </c>
      <c r="C2051" s="3" t="s">
        <v>2201</v>
      </c>
      <c r="D2051" s="4" t="str">
        <f>HYPERLINK("https://12go.asia/en/travel/linyi/xihu", "12Go Link")</f>
        <v>12Go Link</v>
      </c>
      <c r="E2051" s="3" t="s">
        <v>94</v>
      </c>
      <c r="K2051" s="5"/>
    </row>
    <row r="2052">
      <c r="A2052" s="3" t="s">
        <v>2186</v>
      </c>
      <c r="B2052" s="3" t="s">
        <v>577</v>
      </c>
      <c r="C2052" s="3" t="s">
        <v>2202</v>
      </c>
      <c r="D2052" s="4" t="str">
        <f>HYPERLINK("https://12go.asia/en/travel/linyi/xunxian", "12Go Link")</f>
        <v>12Go Link</v>
      </c>
      <c r="E2052" s="3" t="s">
        <v>94</v>
      </c>
      <c r="K2052" s="5"/>
    </row>
    <row r="2053">
      <c r="A2053" s="3" t="s">
        <v>2186</v>
      </c>
      <c r="B2053" s="3" t="s">
        <v>1021</v>
      </c>
      <c r="C2053" s="3" t="s">
        <v>2203</v>
      </c>
      <c r="D2053" s="4" t="str">
        <f>HYPERLINK("https://12go.asia/en/travel/linyi/zhejiang", "12Go Link")</f>
        <v>12Go Link</v>
      </c>
      <c r="E2053" s="3" t="s">
        <v>94</v>
      </c>
      <c r="K2053" s="5"/>
    </row>
    <row r="2054">
      <c r="A2054" s="3" t="s">
        <v>1989</v>
      </c>
      <c r="B2054" s="3" t="s">
        <v>1518</v>
      </c>
      <c r="C2054" s="3" t="s">
        <v>2204</v>
      </c>
      <c r="D2054" s="4" t="str">
        <f>HYPERLINK("https://12go.asia/en/travel/liuzhou/duan-yao", "12Go Link")</f>
        <v>12Go Link</v>
      </c>
      <c r="E2054" s="3" t="s">
        <v>94</v>
      </c>
      <c r="K2054" s="5"/>
    </row>
    <row r="2055">
      <c r="A2055" s="3" t="s">
        <v>1989</v>
      </c>
      <c r="B2055" s="3" t="s">
        <v>1374</v>
      </c>
      <c r="C2055" s="3" t="s">
        <v>2205</v>
      </c>
      <c r="D2055" s="4" t="str">
        <f>HYPERLINK("https://12go.asia/en/travel/liuzhou/huaihua", "12Go Link")</f>
        <v>12Go Link</v>
      </c>
      <c r="E2055" s="3" t="s">
        <v>94</v>
      </c>
      <c r="K2055" s="5"/>
    </row>
    <row r="2056">
      <c r="A2056" s="3" t="s">
        <v>1989</v>
      </c>
      <c r="B2056" s="3" t="s">
        <v>1374</v>
      </c>
      <c r="C2056" s="3" t="s">
        <v>2206</v>
      </c>
      <c r="D2056" s="4" t="str">
        <f>HYPERLINK("https://12go.asia/en/travel/liuzhou/huaihua-south", "12Go Link")</f>
        <v>12Go Link</v>
      </c>
      <c r="E2056" s="3" t="s">
        <v>94</v>
      </c>
      <c r="K2056" s="5"/>
    </row>
    <row r="2057">
      <c r="A2057" s="3" t="s">
        <v>1989</v>
      </c>
      <c r="B2057" s="3" t="s">
        <v>957</v>
      </c>
      <c r="C2057" s="3" t="s">
        <v>2207</v>
      </c>
      <c r="D2057" s="4" t="str">
        <f>HYPERLINK("https://12go.asia/en/travel/liuzhou/huiyang", "12Go Link")</f>
        <v>12Go Link</v>
      </c>
      <c r="E2057" s="3" t="s">
        <v>94</v>
      </c>
      <c r="K2057" s="5"/>
    </row>
    <row r="2058">
      <c r="A2058" s="3" t="s">
        <v>1989</v>
      </c>
      <c r="B2058" s="3" t="s">
        <v>957</v>
      </c>
      <c r="C2058" s="3" t="s">
        <v>2208</v>
      </c>
      <c r="D2058" s="4" t="str">
        <f>HYPERLINK("https://12go.asia/en/travel/liuzhou/huiyang-district", "12Go Link")</f>
        <v>12Go Link</v>
      </c>
      <c r="E2058" s="3" t="s">
        <v>94</v>
      </c>
      <c r="K2058" s="5"/>
    </row>
    <row r="2059">
      <c r="A2059" s="3" t="s">
        <v>2209</v>
      </c>
      <c r="B2059" s="3" t="s">
        <v>520</v>
      </c>
      <c r="C2059" s="3" t="s">
        <v>2210</v>
      </c>
      <c r="D2059" s="4" t="str">
        <f>HYPERLINK("https://12go.asia/en/travel/longnan/gansu", "12Go Link")</f>
        <v>12Go Link</v>
      </c>
      <c r="E2059" s="3" t="s">
        <v>94</v>
      </c>
      <c r="K2059" s="5"/>
    </row>
    <row r="2060">
      <c r="A2060" s="3" t="s">
        <v>2209</v>
      </c>
      <c r="B2060" s="3" t="s">
        <v>544</v>
      </c>
      <c r="C2060" s="3" t="s">
        <v>2211</v>
      </c>
      <c r="D2060" s="4" t="str">
        <f>HYPERLINK("https://12go.asia/en/travel/longnan/lanzhou", "12Go Link")</f>
        <v>12Go Link</v>
      </c>
      <c r="E2060" s="3" t="s">
        <v>94</v>
      </c>
      <c r="K2060" s="5"/>
    </row>
    <row r="2061">
      <c r="A2061" s="3" t="s">
        <v>1384</v>
      </c>
      <c r="B2061" s="3" t="s">
        <v>745</v>
      </c>
      <c r="C2061" s="3" t="s">
        <v>2212</v>
      </c>
      <c r="D2061" s="4" t="str">
        <f>HYPERLINK("https://12go.asia/en/travel/longyan/changsha", "12Go Link")</f>
        <v>12Go Link</v>
      </c>
      <c r="E2061" s="3" t="s">
        <v>94</v>
      </c>
      <c r="K2061" s="5"/>
    </row>
    <row r="2062">
      <c r="A2062" s="3" t="s">
        <v>1384</v>
      </c>
      <c r="B2062" s="3" t="s">
        <v>745</v>
      </c>
      <c r="C2062" s="3" t="s">
        <v>2213</v>
      </c>
      <c r="D2062" s="4" t="str">
        <f>HYPERLINK("https://12go.asia/en/travel/longyan/changsha-south", "12Go Link")</f>
        <v>12Go Link</v>
      </c>
      <c r="E2062" s="3" t="s">
        <v>94</v>
      </c>
      <c r="K2062" s="5"/>
    </row>
    <row r="2063">
      <c r="A2063" s="3" t="s">
        <v>1384</v>
      </c>
      <c r="B2063" s="3" t="s">
        <v>536</v>
      </c>
      <c r="C2063" s="3" t="s">
        <v>2214</v>
      </c>
      <c r="D2063" s="4" t="str">
        <f>HYPERLINK("https://12go.asia/en/travel/longyan/hunan", "12Go Link")</f>
        <v>12Go Link</v>
      </c>
      <c r="E2063" s="3" t="s">
        <v>94</v>
      </c>
      <c r="K2063" s="5"/>
    </row>
    <row r="2064">
      <c r="A2064" s="3" t="s">
        <v>1384</v>
      </c>
      <c r="B2064" s="3" t="s">
        <v>542</v>
      </c>
      <c r="C2064" s="3" t="s">
        <v>2215</v>
      </c>
      <c r="D2064" s="4" t="str">
        <f>HYPERLINK("https://12go.asia/en/travel/longyan/jiaocheng", "12Go Link")</f>
        <v>12Go Link</v>
      </c>
      <c r="E2064" s="3" t="s">
        <v>94</v>
      </c>
      <c r="K2064" s="5"/>
    </row>
    <row r="2065">
      <c r="A2065" s="3" t="s">
        <v>1384</v>
      </c>
      <c r="B2065" s="3" t="s">
        <v>564</v>
      </c>
      <c r="C2065" s="3" t="s">
        <v>2216</v>
      </c>
      <c r="D2065" s="4" t="str">
        <f>HYPERLINK("https://12go.asia/en/travel/longyan/tianxin", "12Go Link")</f>
        <v>12Go Link</v>
      </c>
      <c r="E2065" s="3" t="s">
        <v>94</v>
      </c>
      <c r="K2065" s="5"/>
    </row>
    <row r="2066">
      <c r="A2066" s="3" t="s">
        <v>1384</v>
      </c>
      <c r="B2066" s="3" t="s">
        <v>796</v>
      </c>
      <c r="C2066" s="3" t="s">
        <v>2217</v>
      </c>
      <c r="D2066" s="4" t="str">
        <f>HYPERLINK("https://12go.asia/en/travel/longyan/wuhan", "12Go Link")</f>
        <v>12Go Link</v>
      </c>
      <c r="E2066" s="3" t="s">
        <v>94</v>
      </c>
      <c r="K2066" s="5"/>
    </row>
    <row r="2067">
      <c r="A2067" s="3" t="s">
        <v>1386</v>
      </c>
      <c r="B2067" s="3" t="s">
        <v>865</v>
      </c>
      <c r="C2067" s="3" t="s">
        <v>2218</v>
      </c>
      <c r="D2067" s="4" t="str">
        <f>HYPERLINK("https://12go.asia/en/travel/guanlin/huludao", "12Go Link")</f>
        <v>12Go Link</v>
      </c>
      <c r="E2067" s="3" t="s">
        <v>94</v>
      </c>
      <c r="K2067" s="5"/>
    </row>
    <row r="2068">
      <c r="A2068" s="3" t="s">
        <v>1386</v>
      </c>
      <c r="B2068" s="3" t="s">
        <v>865</v>
      </c>
      <c r="C2068" s="3" t="s">
        <v>2219</v>
      </c>
      <c r="D2068" s="4" t="str">
        <f>HYPERLINK("https://12go.asia/en/travel/luoyang-longmen/huludao-north", "12Go Link")</f>
        <v>12Go Link</v>
      </c>
      <c r="E2068" s="3" t="s">
        <v>94</v>
      </c>
      <c r="K2068" s="5"/>
    </row>
    <row r="2069">
      <c r="A2069" s="3" t="s">
        <v>1386</v>
      </c>
      <c r="B2069" s="3" t="s">
        <v>865</v>
      </c>
      <c r="C2069" s="3" t="s">
        <v>2220</v>
      </c>
      <c r="D2069" s="4" t="str">
        <f>HYPERLINK("https://12go.asia/en/travel/luoyang/huludao", "12Go Link")</f>
        <v>12Go Link</v>
      </c>
      <c r="E2069" s="3" t="s">
        <v>94</v>
      </c>
      <c r="K2069" s="5"/>
    </row>
    <row r="2070">
      <c r="A2070" s="3" t="s">
        <v>1386</v>
      </c>
      <c r="B2070" s="3" t="s">
        <v>2221</v>
      </c>
      <c r="C2070" s="3" t="s">
        <v>2222</v>
      </c>
      <c r="D2070" s="4" t="str">
        <f>HYPERLINK("https://12go.asia/en/travel/luoyang-longmen/yuzhou", "12Go Link")</f>
        <v>12Go Link</v>
      </c>
      <c r="E2070" s="3" t="s">
        <v>94</v>
      </c>
      <c r="K2070" s="5"/>
    </row>
    <row r="2071">
      <c r="A2071" s="3" t="s">
        <v>1386</v>
      </c>
      <c r="B2071" s="3" t="s">
        <v>2221</v>
      </c>
      <c r="C2071" s="3" t="s">
        <v>2223</v>
      </c>
      <c r="D2071" s="4" t="str">
        <f>HYPERLINK("https://12go.asia/en/travel/luoyang/jia", "12Go Link")</f>
        <v>12Go Link</v>
      </c>
      <c r="E2071" s="3" t="s">
        <v>94</v>
      </c>
      <c r="K2071" s="5"/>
    </row>
    <row r="2072">
      <c r="A2072" s="3" t="s">
        <v>1386</v>
      </c>
      <c r="B2072" s="3" t="s">
        <v>2186</v>
      </c>
      <c r="C2072" s="3" t="s">
        <v>2224</v>
      </c>
      <c r="D2072" s="4" t="str">
        <f>HYPERLINK("https://12go.asia/en/travel/luoyang-longmen/linyi-north", "12Go Link")</f>
        <v>12Go Link</v>
      </c>
      <c r="E2072" s="3" t="s">
        <v>94</v>
      </c>
      <c r="K2072" s="5"/>
    </row>
    <row r="2073">
      <c r="A2073" s="3" t="s">
        <v>1386</v>
      </c>
      <c r="B2073" s="3" t="s">
        <v>2186</v>
      </c>
      <c r="C2073" s="3" t="s">
        <v>2225</v>
      </c>
      <c r="D2073" s="4" t="str">
        <f>HYPERLINK("https://12go.asia/en/travel/luoyang/linyi", "12Go Link")</f>
        <v>12Go Link</v>
      </c>
      <c r="E2073" s="3" t="s">
        <v>94</v>
      </c>
      <c r="K2073" s="5"/>
    </row>
    <row r="2074">
      <c r="A2074" s="3" t="s">
        <v>1386</v>
      </c>
      <c r="B2074" s="3" t="s">
        <v>1168</v>
      </c>
      <c r="C2074" s="3" t="s">
        <v>2226</v>
      </c>
      <c r="D2074" s="4" t="str">
        <f>HYPERLINK("https://12go.asia/en/travel/luoyang/qinhuangdao", "12Go Link")</f>
        <v>12Go Link</v>
      </c>
      <c r="E2074" s="3" t="s">
        <v>94</v>
      </c>
      <c r="K2074" s="5"/>
    </row>
    <row r="2075">
      <c r="A2075" s="3" t="s">
        <v>2227</v>
      </c>
      <c r="B2075" s="3" t="s">
        <v>853</v>
      </c>
      <c r="C2075" s="3" t="s">
        <v>2228</v>
      </c>
      <c r="D2075" s="4" t="str">
        <f>HYPERLINK("https://12go.asia/en/travel/maanshan/guilin", "12Go Link")</f>
        <v>12Go Link</v>
      </c>
      <c r="E2075" s="3" t="s">
        <v>94</v>
      </c>
      <c r="K2075" s="5"/>
    </row>
    <row r="2076">
      <c r="A2076" s="3" t="s">
        <v>2227</v>
      </c>
      <c r="B2076" s="3" t="s">
        <v>853</v>
      </c>
      <c r="C2076" s="3" t="s">
        <v>2229</v>
      </c>
      <c r="D2076" s="4" t="str">
        <f>HYPERLINK("https://12go.asia/en/travel/maanshan/guilin-north", "12Go Link")</f>
        <v>12Go Link</v>
      </c>
      <c r="E2076" s="3" t="s">
        <v>94</v>
      </c>
      <c r="K2076" s="5"/>
    </row>
    <row r="2077">
      <c r="A2077" s="3" t="s">
        <v>1303</v>
      </c>
      <c r="B2077" s="3" t="s">
        <v>620</v>
      </c>
      <c r="C2077" s="3" t="s">
        <v>2230</v>
      </c>
      <c r="D2077" s="4" t="str">
        <f>HYPERLINK("https://12go.asia/en/travel/macau/hengqin-island", "12Go Link")</f>
        <v>12Go Link</v>
      </c>
      <c r="E2077" s="3" t="s">
        <v>94</v>
      </c>
      <c r="K2077" s="5"/>
    </row>
    <row r="2078">
      <c r="A2078" s="3" t="s">
        <v>2231</v>
      </c>
      <c r="B2078" s="3" t="s">
        <v>780</v>
      </c>
      <c r="C2078" s="3" t="s">
        <v>2232</v>
      </c>
      <c r="D2078" s="4" t="str">
        <f>HYPERLINK("https://12go.asia/en/travel/manzhouli/shanhaiguan", "12Go Link")</f>
        <v>12Go Link</v>
      </c>
      <c r="E2078" s="3" t="s">
        <v>94</v>
      </c>
      <c r="K2078" s="5"/>
    </row>
    <row r="2079">
      <c r="A2079" s="3" t="s">
        <v>674</v>
      </c>
      <c r="B2079" s="3" t="s">
        <v>874</v>
      </c>
      <c r="C2079" s="3" t="s">
        <v>2233</v>
      </c>
      <c r="D2079" s="4" t="str">
        <f>HYPERLINK("https://12go.asia/en/travel/maoming/nanchang", "12Go Link")</f>
        <v>12Go Link</v>
      </c>
      <c r="E2079" s="3" t="s">
        <v>94</v>
      </c>
      <c r="K2079" s="5"/>
    </row>
    <row r="2080">
      <c r="A2080" s="3" t="s">
        <v>674</v>
      </c>
      <c r="B2080" s="3" t="s">
        <v>1534</v>
      </c>
      <c r="C2080" s="3" t="s">
        <v>2234</v>
      </c>
      <c r="D2080" s="4" t="str">
        <f>HYPERLINK("https://12go.asia/en/travel/maoming/nanning-east", "12Go Link")</f>
        <v>12Go Link</v>
      </c>
      <c r="E2080" s="3" t="s">
        <v>94</v>
      </c>
      <c r="K2080" s="5"/>
    </row>
    <row r="2081">
      <c r="A2081" s="3" t="s">
        <v>1609</v>
      </c>
      <c r="B2081" s="3" t="s">
        <v>1121</v>
      </c>
      <c r="C2081" s="3" t="s">
        <v>2235</v>
      </c>
      <c r="D2081" s="4" t="str">
        <f>HYPERLINK("https://12go.asia/en/travel/mianyang/dazu-chongqing", "12Go Link")</f>
        <v>12Go Link</v>
      </c>
      <c r="E2081" s="3" t="s">
        <v>94</v>
      </c>
      <c r="K2081" s="5"/>
    </row>
    <row r="2082">
      <c r="A2082" s="3" t="s">
        <v>1609</v>
      </c>
      <c r="B2082" s="3" t="s">
        <v>1121</v>
      </c>
      <c r="C2082" s="3" t="s">
        <v>2236</v>
      </c>
      <c r="D2082" s="4" t="str">
        <f>HYPERLINK("https://12go.asia/en/travel/mianyang/rongchang-north", "12Go Link")</f>
        <v>12Go Link</v>
      </c>
      <c r="E2082" s="3" t="s">
        <v>94</v>
      </c>
      <c r="K2082" s="5"/>
    </row>
    <row r="2083">
      <c r="A2083" s="3" t="s">
        <v>1609</v>
      </c>
      <c r="B2083" s="3" t="s">
        <v>2237</v>
      </c>
      <c r="C2083" s="3" t="s">
        <v>2238</v>
      </c>
      <c r="D2083" s="4" t="str">
        <f>HYPERLINK("https://12go.asia/en/travel/mianyang/korla", "12Go Link")</f>
        <v>12Go Link</v>
      </c>
      <c r="E2083" s="3" t="s">
        <v>94</v>
      </c>
      <c r="K2083" s="5"/>
    </row>
    <row r="2084">
      <c r="A2084" s="3" t="s">
        <v>1609</v>
      </c>
      <c r="B2084" s="3" t="s">
        <v>2239</v>
      </c>
      <c r="C2084" s="3" t="s">
        <v>2240</v>
      </c>
      <c r="D2084" s="4" t="str">
        <f>HYPERLINK("https://12go.asia/en/travel/mianyang/taigu-west", "12Go Link")</f>
        <v>12Go Link</v>
      </c>
      <c r="E2084" s="3" t="s">
        <v>94</v>
      </c>
      <c r="K2084" s="5"/>
    </row>
    <row r="2085">
      <c r="A2085" s="3" t="s">
        <v>1609</v>
      </c>
      <c r="B2085" s="3" t="s">
        <v>878</v>
      </c>
      <c r="C2085" s="3" t="s">
        <v>2241</v>
      </c>
      <c r="D2085" s="4" t="str">
        <f>HYPERLINK("https://12go.asia/en/travel/mianyang/shijiazhuang", "12Go Link")</f>
        <v>12Go Link</v>
      </c>
      <c r="E2085" s="3" t="s">
        <v>94</v>
      </c>
      <c r="K2085" s="5"/>
    </row>
    <row r="2086">
      <c r="A2086" s="3" t="s">
        <v>1609</v>
      </c>
      <c r="B2086" s="3" t="s">
        <v>878</v>
      </c>
      <c r="C2086" s="3" t="s">
        <v>2242</v>
      </c>
      <c r="D2086" s="4" t="str">
        <f>HYPERLINK("https://12go.asia/en/travel/mianyang/shijiazhuang-north", "12Go Link")</f>
        <v>12Go Link</v>
      </c>
      <c r="E2086" s="3" t="s">
        <v>94</v>
      </c>
      <c r="K2086" s="5"/>
    </row>
    <row r="2087">
      <c r="A2087" s="3" t="s">
        <v>1609</v>
      </c>
      <c r="B2087" s="3" t="s">
        <v>897</v>
      </c>
      <c r="C2087" s="3" t="s">
        <v>2243</v>
      </c>
      <c r="D2087" s="4" t="str">
        <f>HYPERLINK("https://12go.asia/en/travel/mianyang/yantai", "12Go Link")</f>
        <v>12Go Link</v>
      </c>
      <c r="E2087" s="3" t="s">
        <v>94</v>
      </c>
      <c r="K2087" s="5"/>
    </row>
    <row r="2088">
      <c r="A2088" s="3" t="s">
        <v>1763</v>
      </c>
      <c r="B2088" s="3" t="s">
        <v>1991</v>
      </c>
      <c r="C2088" s="3" t="s">
        <v>2244</v>
      </c>
      <c r="D2088" s="4" t="str">
        <f>HYPERLINK("https://12go.asia/en/travel/mishan/jixi", "12Go Link")</f>
        <v>12Go Link</v>
      </c>
      <c r="E2088" s="3" t="s">
        <v>94</v>
      </c>
      <c r="K2088" s="5"/>
    </row>
    <row r="2089">
      <c r="A2089" s="3" t="s">
        <v>874</v>
      </c>
      <c r="B2089" s="3" t="s">
        <v>526</v>
      </c>
      <c r="C2089" s="3" t="s">
        <v>2245</v>
      </c>
      <c r="D2089" s="4" t="str">
        <f>HYPERLINK("https://12go.asia/en/travel/nanchang/harbin", "12Go Link")</f>
        <v>12Go Link</v>
      </c>
      <c r="E2089" s="3" t="s">
        <v>94</v>
      </c>
      <c r="K2089" s="5"/>
    </row>
    <row r="2090">
      <c r="A2090" s="3" t="s">
        <v>874</v>
      </c>
      <c r="B2090" s="3" t="s">
        <v>2246</v>
      </c>
      <c r="C2090" s="3" t="s">
        <v>2247</v>
      </c>
      <c r="D2090" s="4" t="str">
        <f>HYPERLINK("https://12go.asia/en/travel/nanchang/ningxia", "12Go Link")</f>
        <v>12Go Link</v>
      </c>
      <c r="E2090" s="3" t="s">
        <v>94</v>
      </c>
      <c r="K2090" s="5"/>
    </row>
    <row r="2091">
      <c r="A2091" s="3" t="s">
        <v>874</v>
      </c>
      <c r="B2091" s="3" t="s">
        <v>2101</v>
      </c>
      <c r="C2091" s="3" t="s">
        <v>2248</v>
      </c>
      <c r="D2091" s="4" t="str">
        <f>HYPERLINK("https://12go.asia/en/travel/nanchang/tianshui", "12Go Link")</f>
        <v>12Go Link</v>
      </c>
      <c r="E2091" s="3" t="s">
        <v>94</v>
      </c>
      <c r="K2091" s="5"/>
    </row>
    <row r="2092">
      <c r="A2092" s="3" t="s">
        <v>769</v>
      </c>
      <c r="B2092" s="3" t="s">
        <v>2249</v>
      </c>
      <c r="C2092" s="3" t="s">
        <v>2250</v>
      </c>
      <c r="D2092" s="4" t="str">
        <f>HYPERLINK("https://12go.asia/en/travel/nanjing/anting", "12Go Link")</f>
        <v>12Go Link</v>
      </c>
      <c r="E2092" s="3" t="s">
        <v>94</v>
      </c>
      <c r="K2092" s="5"/>
    </row>
    <row r="2093">
      <c r="A2093" s="3" t="s">
        <v>769</v>
      </c>
      <c r="B2093" s="3" t="s">
        <v>2161</v>
      </c>
      <c r="C2093" s="3" t="s">
        <v>2251</v>
      </c>
      <c r="D2093" s="4" t="str">
        <f>HYPERLINK("https://12go.asia/en/travel/nanjing/beidaihe", "12Go Link")</f>
        <v>12Go Link</v>
      </c>
      <c r="E2093" s="3" t="s">
        <v>94</v>
      </c>
      <c r="K2093" s="5"/>
    </row>
    <row r="2094">
      <c r="A2094" s="3" t="s">
        <v>769</v>
      </c>
      <c r="B2094" s="3" t="s">
        <v>2161</v>
      </c>
      <c r="C2094" s="3" t="s">
        <v>2252</v>
      </c>
      <c r="D2094" s="4" t="str">
        <f>HYPERLINK("https://12go.asia/en/travel/nanjing/funing-east", "12Go Link")</f>
        <v>12Go Link</v>
      </c>
      <c r="E2094" s="3" t="s">
        <v>94</v>
      </c>
      <c r="K2094" s="5"/>
    </row>
    <row r="2095">
      <c r="A2095" s="3" t="s">
        <v>769</v>
      </c>
      <c r="B2095" s="3" t="s">
        <v>516</v>
      </c>
      <c r="C2095" s="3" t="s">
        <v>2253</v>
      </c>
      <c r="D2095" s="4" t="str">
        <f>HYPERLINK("https://12go.asia/en/travel/nanjing-south/binhai-north", "12Go Link")</f>
        <v>12Go Link</v>
      </c>
      <c r="E2095" s="3" t="s">
        <v>94</v>
      </c>
      <c r="K2095" s="5"/>
    </row>
    <row r="2096">
      <c r="A2096" s="3" t="s">
        <v>769</v>
      </c>
      <c r="B2096" s="3" t="s">
        <v>516</v>
      </c>
      <c r="C2096" s="3" t="s">
        <v>2254</v>
      </c>
      <c r="D2096" s="4" t="str">
        <f>HYPERLINK("https://12go.asia/en/travel/nanjing-south/binhai-west", "12Go Link")</f>
        <v>12Go Link</v>
      </c>
      <c r="E2096" s="3" t="s">
        <v>94</v>
      </c>
      <c r="K2096" s="5"/>
    </row>
    <row r="2097">
      <c r="A2097" s="3" t="s">
        <v>769</v>
      </c>
      <c r="B2097" s="3" t="s">
        <v>516</v>
      </c>
      <c r="C2097" s="3" t="s">
        <v>2255</v>
      </c>
      <c r="D2097" s="4" t="str">
        <f>HYPERLINK("https://12go.asia/en/travel/nanjing/binhai", "12Go Link")</f>
        <v>12Go Link</v>
      </c>
      <c r="E2097" s="3" t="s">
        <v>94</v>
      </c>
      <c r="K2097" s="5"/>
    </row>
    <row r="2098">
      <c r="A2098" s="3" t="s">
        <v>769</v>
      </c>
      <c r="B2098" s="3" t="s">
        <v>831</v>
      </c>
      <c r="C2098" s="3" t="s">
        <v>2256</v>
      </c>
      <c r="D2098" s="4" t="str">
        <f>HYPERLINK("https://12go.asia/en/travel/nanjing-south/wujin", "12Go Link")</f>
        <v>12Go Link</v>
      </c>
      <c r="E2098" s="3" t="s">
        <v>94</v>
      </c>
      <c r="K2098" s="5"/>
    </row>
    <row r="2099">
      <c r="A2099" s="3" t="s">
        <v>769</v>
      </c>
      <c r="B2099" s="3" t="s">
        <v>1335</v>
      </c>
      <c r="C2099" s="3" t="s">
        <v>2257</v>
      </c>
      <c r="D2099" s="4" t="str">
        <f>HYPERLINK("https://12go.asia/en/travel/nanjing-south/chuzhou", "12Go Link")</f>
        <v>12Go Link</v>
      </c>
      <c r="E2099" s="3" t="s">
        <v>94</v>
      </c>
      <c r="K2099" s="5"/>
    </row>
    <row r="2100">
      <c r="A2100" s="3" t="s">
        <v>769</v>
      </c>
      <c r="B2100" s="3" t="s">
        <v>1335</v>
      </c>
      <c r="C2100" s="3" t="s">
        <v>2258</v>
      </c>
      <c r="D2100" s="4" t="str">
        <f>HYPERLINK("https://12go.asia/en/travel/nanjing/chuzhou", "12Go Link")</f>
        <v>12Go Link</v>
      </c>
      <c r="E2100" s="3" t="s">
        <v>94</v>
      </c>
      <c r="K2100" s="5"/>
    </row>
    <row r="2101">
      <c r="A2101" s="3" t="s">
        <v>769</v>
      </c>
      <c r="B2101" s="3" t="s">
        <v>1335</v>
      </c>
      <c r="C2101" s="3" t="s">
        <v>2259</v>
      </c>
      <c r="D2101" s="4" t="str">
        <f>HYPERLINK("https://12go.asia/en/travel/nanjing/chuzhou-north", "12Go Link")</f>
        <v>12Go Link</v>
      </c>
      <c r="E2101" s="3" t="s">
        <v>94</v>
      </c>
      <c r="K2101" s="5"/>
    </row>
    <row r="2102">
      <c r="A2102" s="3" t="s">
        <v>769</v>
      </c>
      <c r="B2102" s="3" t="s">
        <v>1589</v>
      </c>
      <c r="C2102" s="3" t="s">
        <v>2260</v>
      </c>
      <c r="D2102" s="4" t="str">
        <f>HYPERLINK("https://12go.asia/en/travel/nanjing/datong", "12Go Link")</f>
        <v>12Go Link</v>
      </c>
      <c r="E2102" s="3" t="s">
        <v>94</v>
      </c>
      <c r="K2102" s="5"/>
    </row>
    <row r="2103">
      <c r="A2103" s="3" t="s">
        <v>769</v>
      </c>
      <c r="B2103" s="3" t="s">
        <v>613</v>
      </c>
      <c r="C2103" s="3" t="s">
        <v>2261</v>
      </c>
      <c r="D2103" s="4" t="str">
        <f>HYPERLINK("https://12go.asia/en/travel/nanjing/dongsheng", "12Go Link")</f>
        <v>12Go Link</v>
      </c>
      <c r="E2103" s="3" t="s">
        <v>94</v>
      </c>
      <c r="K2103" s="5"/>
    </row>
    <row r="2104">
      <c r="A2104" s="3" t="s">
        <v>769</v>
      </c>
      <c r="B2104" s="3" t="s">
        <v>613</v>
      </c>
      <c r="C2104" s="3" t="s">
        <v>2262</v>
      </c>
      <c r="D2104" s="4" t="str">
        <f>HYPERLINK("https://12go.asia/en/travel/nanjing/dongsheng-west", "12Go Link")</f>
        <v>12Go Link</v>
      </c>
      <c r="E2104" s="3" t="s">
        <v>94</v>
      </c>
      <c r="K2104" s="5"/>
    </row>
    <row r="2105">
      <c r="A2105" s="3" t="s">
        <v>769</v>
      </c>
      <c r="B2105" s="3" t="s">
        <v>1089</v>
      </c>
      <c r="C2105" s="3" t="s">
        <v>2263</v>
      </c>
      <c r="D2105" s="4" t="str">
        <f>HYPERLINK("https://12go.asia/en/travel/nanjing/fuxin", "12Go Link")</f>
        <v>12Go Link</v>
      </c>
      <c r="E2105" s="3" t="s">
        <v>94</v>
      </c>
      <c r="K2105" s="5"/>
    </row>
    <row r="2106">
      <c r="A2106" s="3" t="s">
        <v>769</v>
      </c>
      <c r="B2106" s="3" t="s">
        <v>1089</v>
      </c>
      <c r="C2106" s="3" t="s">
        <v>2264</v>
      </c>
      <c r="D2106" s="4" t="str">
        <f>HYPERLINK("https://12go.asia/en/travel/nanjing/fuxin-south", "12Go Link")</f>
        <v>12Go Link</v>
      </c>
      <c r="E2106" s="3" t="s">
        <v>94</v>
      </c>
      <c r="K2106" s="5"/>
    </row>
    <row r="2107">
      <c r="A2107" s="3" t="s">
        <v>769</v>
      </c>
      <c r="B2107" s="3" t="s">
        <v>524</v>
      </c>
      <c r="C2107" s="3" t="s">
        <v>2265</v>
      </c>
      <c r="D2107" s="4" t="str">
        <f>HYPERLINK("https://12go.asia/en/travel/nanjing/guzhang", "12Go Link")</f>
        <v>12Go Link</v>
      </c>
      <c r="E2107" s="3" t="s">
        <v>94</v>
      </c>
      <c r="K2107" s="5"/>
    </row>
    <row r="2108">
      <c r="A2108" s="3" t="s">
        <v>769</v>
      </c>
      <c r="B2108" s="3" t="s">
        <v>755</v>
      </c>
      <c r="C2108" s="3" t="s">
        <v>2266</v>
      </c>
      <c r="D2108" s="4" t="str">
        <f>HYPERLINK("https://12go.asia/en/travel/nanjing-south/hangzhou-west", "12Go Link")</f>
        <v>12Go Link</v>
      </c>
      <c r="E2108" s="3" t="s">
        <v>94</v>
      </c>
      <c r="K2108" s="5"/>
    </row>
    <row r="2109">
      <c r="A2109" s="3" t="s">
        <v>769</v>
      </c>
      <c r="B2109" s="3" t="s">
        <v>1036</v>
      </c>
      <c r="C2109" s="3" t="s">
        <v>2267</v>
      </c>
      <c r="D2109" s="4" t="str">
        <f>HYPERLINK("https://12go.asia/en/travel/nanjing-south/huainan-south", "12Go Link")</f>
        <v>12Go Link</v>
      </c>
      <c r="E2109" s="3" t="s">
        <v>94</v>
      </c>
      <c r="K2109" s="5"/>
    </row>
    <row r="2110">
      <c r="A2110" s="3" t="s">
        <v>769</v>
      </c>
      <c r="B2110" s="3" t="s">
        <v>1036</v>
      </c>
      <c r="C2110" s="3" t="s">
        <v>2268</v>
      </c>
      <c r="D2110" s="4" t="str">
        <f>HYPERLINK("https://12go.asia/en/travel/nanjing-south/shouxian", "12Go Link")</f>
        <v>12Go Link</v>
      </c>
      <c r="E2110" s="3" t="s">
        <v>94</v>
      </c>
      <c r="K2110" s="5"/>
    </row>
    <row r="2111">
      <c r="A2111" s="3" t="s">
        <v>769</v>
      </c>
      <c r="B2111" s="3" t="s">
        <v>1036</v>
      </c>
      <c r="C2111" s="3" t="s">
        <v>2269</v>
      </c>
      <c r="D2111" s="4" t="str">
        <f>HYPERLINK("https://12go.asia/en/travel/nanjing/huainan", "12Go Link")</f>
        <v>12Go Link</v>
      </c>
      <c r="E2111" s="3" t="s">
        <v>94</v>
      </c>
      <c r="K2111" s="5"/>
    </row>
    <row r="2112">
      <c r="A2112" s="3" t="s">
        <v>769</v>
      </c>
      <c r="B2112" s="3" t="s">
        <v>1902</v>
      </c>
      <c r="C2112" s="3" t="s">
        <v>2270</v>
      </c>
      <c r="D2112" s="4" t="str">
        <f>HYPERLINK("https://12go.asia/en/travel/nanjing-south/huanggang-west", "12Go Link")</f>
        <v>12Go Link</v>
      </c>
      <c r="E2112" s="3" t="s">
        <v>94</v>
      </c>
      <c r="K2112" s="5"/>
    </row>
    <row r="2113">
      <c r="A2113" s="3" t="s">
        <v>769</v>
      </c>
      <c r="B2113" s="3" t="s">
        <v>1902</v>
      </c>
      <c r="C2113" s="3" t="s">
        <v>2271</v>
      </c>
      <c r="D2113" s="4" t="str">
        <f>HYPERLINK("https://12go.asia/en/travel/nanjing/huanggang", "12Go Link")</f>
        <v>12Go Link</v>
      </c>
      <c r="E2113" s="3" t="s">
        <v>94</v>
      </c>
      <c r="K2113" s="5"/>
    </row>
    <row r="2114">
      <c r="A2114" s="3" t="s">
        <v>769</v>
      </c>
      <c r="B2114" s="3" t="s">
        <v>632</v>
      </c>
      <c r="C2114" s="3" t="s">
        <v>2272</v>
      </c>
      <c r="D2114" s="4" t="str">
        <f>HYPERLINK("https://12go.asia/en/travel/nanjing-south/guangzhoubaiyun", "12Go Link")</f>
        <v>12Go Link</v>
      </c>
      <c r="E2114" s="3" t="s">
        <v>94</v>
      </c>
      <c r="K2114" s="5"/>
    </row>
    <row r="2115">
      <c r="A2115" s="3" t="s">
        <v>769</v>
      </c>
      <c r="B2115" s="3" t="s">
        <v>632</v>
      </c>
      <c r="C2115" s="3" t="s">
        <v>2273</v>
      </c>
      <c r="D2115" s="4" t="str">
        <f>HYPERLINK("https://12go.asia/en/travel/nanjing/guangzhoubaiyun", "12Go Link")</f>
        <v>12Go Link</v>
      </c>
      <c r="E2115" s="3" t="s">
        <v>94</v>
      </c>
      <c r="K2115" s="5"/>
    </row>
    <row r="2116">
      <c r="A2116" s="3" t="s">
        <v>769</v>
      </c>
      <c r="B2116" s="3" t="s">
        <v>632</v>
      </c>
      <c r="C2116" s="3" t="s">
        <v>2274</v>
      </c>
      <c r="D2116" s="4" t="str">
        <f>HYPERLINK("https://12go.asia/en/travel/nanjing/huaxi", "12Go Link")</f>
        <v>12Go Link</v>
      </c>
      <c r="E2116" s="3" t="s">
        <v>94</v>
      </c>
      <c r="K2116" s="5"/>
    </row>
    <row r="2117">
      <c r="A2117" s="3" t="s">
        <v>769</v>
      </c>
      <c r="B2117" s="3" t="s">
        <v>957</v>
      </c>
      <c r="C2117" s="3" t="s">
        <v>2275</v>
      </c>
      <c r="D2117" s="4" t="str">
        <f>HYPERLINK("https://12go.asia/en/travel/nanjing-south/huiyang", "12Go Link")</f>
        <v>12Go Link</v>
      </c>
      <c r="E2117" s="3" t="s">
        <v>94</v>
      </c>
      <c r="K2117" s="5"/>
    </row>
    <row r="2118">
      <c r="A2118" s="3" t="s">
        <v>769</v>
      </c>
      <c r="B2118" s="3" t="s">
        <v>957</v>
      </c>
      <c r="C2118" s="3" t="s">
        <v>2276</v>
      </c>
      <c r="D2118" s="4" t="str">
        <f>HYPERLINK("https://12go.asia/en/travel/nanjing/huiyang-district", "12Go Link")</f>
        <v>12Go Link</v>
      </c>
      <c r="E2118" s="3" t="s">
        <v>94</v>
      </c>
      <c r="K2118" s="5"/>
    </row>
    <row r="2119">
      <c r="A2119" s="3" t="s">
        <v>769</v>
      </c>
      <c r="B2119" s="3" t="s">
        <v>1291</v>
      </c>
      <c r="C2119" s="3" t="s">
        <v>2277</v>
      </c>
      <c r="D2119" s="4" t="str">
        <f>HYPERLINK("https://12go.asia/en/travel/nanjing/jian-jiangxi", "12Go Link")</f>
        <v>12Go Link</v>
      </c>
      <c r="E2119" s="3" t="s">
        <v>94</v>
      </c>
      <c r="K2119" s="5"/>
    </row>
    <row r="2120">
      <c r="A2120" s="3" t="s">
        <v>769</v>
      </c>
      <c r="B2120" s="3" t="s">
        <v>639</v>
      </c>
      <c r="C2120" s="3" t="s">
        <v>2278</v>
      </c>
      <c r="D2120" s="4" t="str">
        <f>HYPERLINK("https://12go.asia/en/travel/nanjing/jiangbei", "12Go Link")</f>
        <v>12Go Link</v>
      </c>
      <c r="E2120" s="3" t="s">
        <v>94</v>
      </c>
      <c r="K2120" s="5"/>
    </row>
    <row r="2121">
      <c r="A2121" s="3" t="s">
        <v>769</v>
      </c>
      <c r="B2121" s="3" t="s">
        <v>641</v>
      </c>
      <c r="C2121" s="3" t="s">
        <v>2279</v>
      </c>
      <c r="D2121" s="4" t="str">
        <f>HYPERLINK("https://12go.asia/en/travel/nanjing/jiangjin", "12Go Link")</f>
        <v>12Go Link</v>
      </c>
      <c r="E2121" s="3" t="s">
        <v>94</v>
      </c>
      <c r="K2121" s="5"/>
    </row>
    <row r="2122">
      <c r="A2122" s="3" t="s">
        <v>769</v>
      </c>
      <c r="B2122" s="3" t="s">
        <v>643</v>
      </c>
      <c r="C2122" s="3" t="s">
        <v>2280</v>
      </c>
      <c r="D2122" s="4" t="str">
        <f>HYPERLINK("https://12go.asia/en/travel/nanjing-south/jiangning-west", "12Go Link")</f>
        <v>12Go Link</v>
      </c>
      <c r="E2122" s="3" t="s">
        <v>94</v>
      </c>
      <c r="K2122" s="5"/>
    </row>
    <row r="2123">
      <c r="A2123" s="3" t="s">
        <v>769</v>
      </c>
      <c r="B2123" s="3" t="s">
        <v>643</v>
      </c>
      <c r="C2123" s="3" t="s">
        <v>2281</v>
      </c>
      <c r="D2123" s="4" t="str">
        <f>HYPERLINK("https://12go.asia/en/travel/nanjing/jiangning", "12Go Link")</f>
        <v>12Go Link</v>
      </c>
      <c r="E2123" s="3" t="s">
        <v>94</v>
      </c>
      <c r="K2123" s="5"/>
    </row>
    <row r="2124">
      <c r="A2124" s="3" t="s">
        <v>769</v>
      </c>
      <c r="B2124" s="3" t="s">
        <v>645</v>
      </c>
      <c r="C2124" s="3" t="s">
        <v>2282</v>
      </c>
      <c r="D2124" s="4" t="str">
        <f>HYPERLINK("https://12go.asia/en/travel/nanjing/jiangxia", "12Go Link")</f>
        <v>12Go Link</v>
      </c>
      <c r="E2124" s="3" t="s">
        <v>94</v>
      </c>
      <c r="K2124" s="5"/>
    </row>
    <row r="2125">
      <c r="A2125" s="3" t="s">
        <v>769</v>
      </c>
      <c r="B2125" s="3" t="s">
        <v>647</v>
      </c>
      <c r="C2125" s="3" t="s">
        <v>2283</v>
      </c>
      <c r="D2125" s="4" t="str">
        <f>HYPERLINK("https://12go.asia/en/travel/nanjing/jiangyuan", "12Go Link")</f>
        <v>12Go Link</v>
      </c>
      <c r="E2125" s="3" t="s">
        <v>94</v>
      </c>
      <c r="K2125" s="5"/>
    </row>
    <row r="2126">
      <c r="A2126" s="3" t="s">
        <v>769</v>
      </c>
      <c r="B2126" s="3" t="s">
        <v>540</v>
      </c>
      <c r="C2126" s="3" t="s">
        <v>2284</v>
      </c>
      <c r="D2126" s="4" t="str">
        <f>HYPERLINK("https://12go.asia/en/travel/nanjing/jiangzhou", "12Go Link")</f>
        <v>12Go Link</v>
      </c>
      <c r="E2126" s="3" t="s">
        <v>94</v>
      </c>
      <c r="K2126" s="5"/>
    </row>
    <row r="2127">
      <c r="A2127" s="3" t="s">
        <v>769</v>
      </c>
      <c r="B2127" s="3" t="s">
        <v>542</v>
      </c>
      <c r="C2127" s="3" t="s">
        <v>2285</v>
      </c>
      <c r="D2127" s="4" t="str">
        <f>HYPERLINK("https://12go.asia/en/travel/nanjing/jiaocheng", "12Go Link")</f>
        <v>12Go Link</v>
      </c>
      <c r="E2127" s="3" t="s">
        <v>94</v>
      </c>
      <c r="K2127" s="5"/>
    </row>
    <row r="2128">
      <c r="A2128" s="3" t="s">
        <v>769</v>
      </c>
      <c r="B2128" s="3" t="s">
        <v>655</v>
      </c>
      <c r="C2128" s="3" t="s">
        <v>2286</v>
      </c>
      <c r="D2128" s="4" t="str">
        <f>HYPERLINK("https://12go.asia/en/travel/nanjing/jiaxiang", "12Go Link")</f>
        <v>12Go Link</v>
      </c>
      <c r="E2128" s="3" t="s">
        <v>94</v>
      </c>
      <c r="K2128" s="5"/>
    </row>
    <row r="2129">
      <c r="A2129" s="3" t="s">
        <v>769</v>
      </c>
      <c r="B2129" s="3" t="s">
        <v>660</v>
      </c>
      <c r="C2129" s="3" t="s">
        <v>2287</v>
      </c>
      <c r="D2129" s="4" t="str">
        <f>HYPERLINK("https://12go.asia/en/travel/nanjing-south/quanzhounan", "12Go Link")</f>
        <v>12Go Link</v>
      </c>
      <c r="E2129" s="3" t="s">
        <v>94</v>
      </c>
      <c r="K2129" s="5"/>
    </row>
    <row r="2130">
      <c r="A2130" s="3" t="s">
        <v>769</v>
      </c>
      <c r="B2130" s="3" t="s">
        <v>660</v>
      </c>
      <c r="C2130" s="3" t="s">
        <v>2288</v>
      </c>
      <c r="D2130" s="4" t="str">
        <f>HYPERLINK("https://12go.asia/en/travel/nanjing/jinjiang", "12Go Link")</f>
        <v>12Go Link</v>
      </c>
      <c r="E2130" s="3" t="s">
        <v>94</v>
      </c>
      <c r="K2130" s="5"/>
    </row>
    <row r="2131">
      <c r="A2131" s="3" t="s">
        <v>769</v>
      </c>
      <c r="B2131" s="3" t="s">
        <v>1092</v>
      </c>
      <c r="C2131" s="3" t="s">
        <v>2289</v>
      </c>
      <c r="D2131" s="4" t="str">
        <f>HYPERLINK("https://12go.asia/en/travel/nanjing/jinzhou", "12Go Link")</f>
        <v>12Go Link</v>
      </c>
      <c r="E2131" s="3" t="s">
        <v>94</v>
      </c>
      <c r="K2131" s="5"/>
    </row>
    <row r="2132">
      <c r="A2132" s="3" t="s">
        <v>769</v>
      </c>
      <c r="B2132" s="3" t="s">
        <v>2290</v>
      </c>
      <c r="C2132" s="3" t="s">
        <v>2291</v>
      </c>
      <c r="D2132" s="4" t="str">
        <f>HYPERLINK("https://12go.asia/en/travel/nanjing/jiuquan", "12Go Link")</f>
        <v>12Go Link</v>
      </c>
      <c r="E2132" s="3" t="s">
        <v>94</v>
      </c>
      <c r="K2132" s="5"/>
    </row>
    <row r="2133">
      <c r="A2133" s="3" t="s">
        <v>769</v>
      </c>
      <c r="B2133" s="3" t="s">
        <v>588</v>
      </c>
      <c r="C2133" s="3" t="s">
        <v>2292</v>
      </c>
      <c r="D2133" s="4" t="str">
        <f>HYPERLINK("https://12go.asia/en/travel/nanjing-south/kaifeng-north", "12Go Link")</f>
        <v>12Go Link</v>
      </c>
      <c r="E2133" s="3" t="s">
        <v>94</v>
      </c>
      <c r="K2133" s="5"/>
    </row>
    <row r="2134">
      <c r="A2134" s="3" t="s">
        <v>769</v>
      </c>
      <c r="B2134" s="3" t="s">
        <v>588</v>
      </c>
      <c r="C2134" s="3" t="s">
        <v>2293</v>
      </c>
      <c r="D2134" s="4" t="str">
        <f>HYPERLINK("https://12go.asia/en/travel/nanjing/kaifeng", "12Go Link")</f>
        <v>12Go Link</v>
      </c>
      <c r="E2134" s="3" t="s">
        <v>94</v>
      </c>
      <c r="K2134" s="5"/>
    </row>
    <row r="2135">
      <c r="A2135" s="3" t="s">
        <v>769</v>
      </c>
      <c r="B2135" s="3" t="s">
        <v>2294</v>
      </c>
      <c r="C2135" s="3" t="s">
        <v>2295</v>
      </c>
      <c r="D2135" s="4" t="str">
        <f>HYPERLINK("https://12go.asia/en/travel/nanjing-south/kaili-south", "12Go Link")</f>
        <v>12Go Link</v>
      </c>
      <c r="E2135" s="3" t="s">
        <v>94</v>
      </c>
      <c r="K2135" s="5"/>
    </row>
    <row r="2136">
      <c r="A2136" s="3" t="s">
        <v>769</v>
      </c>
      <c r="B2136" s="3" t="s">
        <v>2294</v>
      </c>
      <c r="C2136" s="3" t="s">
        <v>2296</v>
      </c>
      <c r="D2136" s="4" t="str">
        <f>HYPERLINK("https://12go.asia/en/travel/nanjing/kaili-city", "12Go Link")</f>
        <v>12Go Link</v>
      </c>
      <c r="E2136" s="3" t="s">
        <v>94</v>
      </c>
      <c r="K2136" s="5"/>
    </row>
    <row r="2137">
      <c r="A2137" s="3" t="s">
        <v>769</v>
      </c>
      <c r="B2137" s="3" t="s">
        <v>978</v>
      </c>
      <c r="C2137" s="3" t="s">
        <v>2297</v>
      </c>
      <c r="D2137" s="4" t="str">
        <f>HYPERLINK("https://12go.asia/en/travel/nanjing/liupanshui", "12Go Link")</f>
        <v>12Go Link</v>
      </c>
      <c r="E2137" s="3" t="s">
        <v>94</v>
      </c>
      <c r="K2137" s="5"/>
    </row>
    <row r="2138">
      <c r="A2138" s="3" t="s">
        <v>769</v>
      </c>
      <c r="B2138" s="3" t="s">
        <v>679</v>
      </c>
      <c r="C2138" s="3" t="s">
        <v>2298</v>
      </c>
      <c r="D2138" s="4" t="str">
        <f>HYPERLINK("https://12go.asia/en/travel/nanjing/mingxi", "12Go Link")</f>
        <v>12Go Link</v>
      </c>
      <c r="E2138" s="3" t="s">
        <v>94</v>
      </c>
      <c r="K2138" s="5"/>
    </row>
    <row r="2139">
      <c r="A2139" s="3" t="s">
        <v>769</v>
      </c>
      <c r="B2139" s="3" t="s">
        <v>983</v>
      </c>
      <c r="C2139" s="3" t="s">
        <v>2299</v>
      </c>
      <c r="D2139" s="4" t="str">
        <f>HYPERLINK("https://12go.asia/en/travel/nanjing/ordos", "12Go Link")</f>
        <v>12Go Link</v>
      </c>
      <c r="E2139" s="3" t="s">
        <v>94</v>
      </c>
      <c r="K2139" s="5"/>
    </row>
    <row r="2140">
      <c r="A2140" s="3" t="s">
        <v>769</v>
      </c>
      <c r="B2140" s="3" t="s">
        <v>983</v>
      </c>
      <c r="C2140" s="3" t="s">
        <v>2300</v>
      </c>
      <c r="D2140" s="4" t="str">
        <f>HYPERLINK("https://12go.asia/en/travel/nanjing/ordos-city", "12Go Link")</f>
        <v>12Go Link</v>
      </c>
      <c r="E2140" s="3" t="s">
        <v>94</v>
      </c>
      <c r="K2140" s="5"/>
    </row>
    <row r="2141">
      <c r="A2141" s="3" t="s">
        <v>769</v>
      </c>
      <c r="B2141" s="3" t="s">
        <v>548</v>
      </c>
      <c r="C2141" s="3" t="s">
        <v>2301</v>
      </c>
      <c r="D2141" s="4" t="str">
        <f>HYPERLINK("https://12go.asia/en/travel/nanjing/qinghai", "12Go Link")</f>
        <v>12Go Link</v>
      </c>
      <c r="E2141" s="3" t="s">
        <v>94</v>
      </c>
      <c r="K2141" s="5"/>
    </row>
    <row r="2142">
      <c r="A2142" s="3" t="s">
        <v>769</v>
      </c>
      <c r="B2142" s="3" t="s">
        <v>2302</v>
      </c>
      <c r="C2142" s="3" t="s">
        <v>2303</v>
      </c>
      <c r="D2142" s="4" t="str">
        <f>HYPERLINK("https://12go.asia/en/travel/nanjing-south/qujing-north", "12Go Link")</f>
        <v>12Go Link</v>
      </c>
      <c r="E2142" s="3" t="s">
        <v>94</v>
      </c>
      <c r="K2142" s="5"/>
    </row>
    <row r="2143">
      <c r="A2143" s="3" t="s">
        <v>769</v>
      </c>
      <c r="B2143" s="3" t="s">
        <v>2302</v>
      </c>
      <c r="C2143" s="3" t="s">
        <v>2304</v>
      </c>
      <c r="D2143" s="4" t="str">
        <f>HYPERLINK("https://12go.asia/en/travel/nanjing/qujing", "12Go Link")</f>
        <v>12Go Link</v>
      </c>
      <c r="E2143" s="3" t="s">
        <v>94</v>
      </c>
      <c r="K2143" s="5"/>
    </row>
    <row r="2144">
      <c r="A2144" s="3" t="s">
        <v>769</v>
      </c>
      <c r="B2144" s="3" t="s">
        <v>550</v>
      </c>
      <c r="C2144" s="3" t="s">
        <v>2305</v>
      </c>
      <c r="D2144" s="4" t="str">
        <f>HYPERLINK("https://12go.asia/en/travel/nanjing/saihan", "12Go Link")</f>
        <v>12Go Link</v>
      </c>
      <c r="E2144" s="3" t="s">
        <v>94</v>
      </c>
      <c r="K2144" s="5"/>
    </row>
    <row r="2145">
      <c r="A2145" s="3" t="s">
        <v>769</v>
      </c>
      <c r="B2145" s="3" t="s">
        <v>560</v>
      </c>
      <c r="C2145" s="3" t="s">
        <v>2306</v>
      </c>
      <c r="D2145" s="4" t="str">
        <f>HYPERLINK("https://12go.asia/en/travel/nanjing/shuangliu", "12Go Link")</f>
        <v>12Go Link</v>
      </c>
      <c r="E2145" s="3" t="s">
        <v>94</v>
      </c>
      <c r="K2145" s="5"/>
    </row>
    <row r="2146">
      <c r="A2146" s="3" t="s">
        <v>769</v>
      </c>
      <c r="B2146" s="3" t="s">
        <v>2307</v>
      </c>
      <c r="C2146" s="3" t="s">
        <v>2308</v>
      </c>
      <c r="D2146" s="4" t="str">
        <f>HYPERLINK("https://12go.asia/en/travel/nanjing-south/jianxi", "12Go Link")</f>
        <v>12Go Link</v>
      </c>
      <c r="E2146" s="3" t="s">
        <v>94</v>
      </c>
      <c r="K2146" s="5"/>
    </row>
    <row r="2147">
      <c r="A2147" s="3" t="s">
        <v>769</v>
      </c>
      <c r="B2147" s="3" t="s">
        <v>2307</v>
      </c>
      <c r="C2147" s="3" t="s">
        <v>2309</v>
      </c>
      <c r="D2147" s="4" t="str">
        <f>HYPERLINK("https://12go.asia/en/travel/nanjing/shunchang", "12Go Link")</f>
        <v>12Go Link</v>
      </c>
      <c r="E2147" s="3" t="s">
        <v>94</v>
      </c>
      <c r="K2147" s="5"/>
    </row>
    <row r="2148">
      <c r="A2148" s="3" t="s">
        <v>769</v>
      </c>
      <c r="B2148" s="3" t="s">
        <v>917</v>
      </c>
      <c r="C2148" s="3" t="s">
        <v>2310</v>
      </c>
      <c r="D2148" s="4" t="str">
        <f>HYPERLINK("https://12go.asia/en/travel/nanjing-south/shanghai-songjiang", "12Go Link")</f>
        <v>12Go Link</v>
      </c>
      <c r="E2148" s="3" t="s">
        <v>94</v>
      </c>
      <c r="K2148" s="5"/>
    </row>
    <row r="2149">
      <c r="A2149" s="3" t="s">
        <v>769</v>
      </c>
      <c r="B2149" s="3" t="s">
        <v>917</v>
      </c>
      <c r="C2149" s="3" t="s">
        <v>2311</v>
      </c>
      <c r="D2149" s="4" t="str">
        <f>HYPERLINK("https://12go.asia/en/travel/nanjing/songjiang-north", "12Go Link")</f>
        <v>12Go Link</v>
      </c>
      <c r="E2149" s="3" t="s">
        <v>94</v>
      </c>
      <c r="K2149" s="5"/>
    </row>
    <row r="2150">
      <c r="A2150" s="3" t="s">
        <v>769</v>
      </c>
      <c r="B2150" s="3" t="s">
        <v>917</v>
      </c>
      <c r="C2150" s="3" t="s">
        <v>2312</v>
      </c>
      <c r="D2150" s="4" t="str">
        <f>HYPERLINK("https://12go.asia/en/travel/nanjing/songjiang-shanghai", "12Go Link")</f>
        <v>12Go Link</v>
      </c>
      <c r="E2150" s="3" t="s">
        <v>94</v>
      </c>
      <c r="K2150" s="5"/>
    </row>
    <row r="2151">
      <c r="A2151" s="3" t="s">
        <v>769</v>
      </c>
      <c r="B2151" s="3" t="s">
        <v>883</v>
      </c>
      <c r="C2151" s="3" t="s">
        <v>2313</v>
      </c>
      <c r="D2151" s="4" t="str">
        <f>HYPERLINK("https://12go.asia/en/travel/nanjing/taian", "12Go Link")</f>
        <v>12Go Link</v>
      </c>
      <c r="E2151" s="3" t="s">
        <v>94</v>
      </c>
      <c r="K2151" s="5"/>
    </row>
    <row r="2152">
      <c r="A2152" s="3" t="s">
        <v>769</v>
      </c>
      <c r="B2152" s="3" t="s">
        <v>564</v>
      </c>
      <c r="C2152" s="3" t="s">
        <v>2314</v>
      </c>
      <c r="D2152" s="4" t="str">
        <f>HYPERLINK("https://12go.asia/en/travel/nanjing/tianxin", "12Go Link")</f>
        <v>12Go Link</v>
      </c>
      <c r="E2152" s="3" t="s">
        <v>94</v>
      </c>
      <c r="K2152" s="5"/>
    </row>
    <row r="2153">
      <c r="A2153" s="3" t="s">
        <v>769</v>
      </c>
      <c r="B2153" s="3" t="s">
        <v>1111</v>
      </c>
      <c r="C2153" s="3" t="s">
        <v>2315</v>
      </c>
      <c r="D2153" s="4" t="str">
        <f>HYPERLINK("https://12go.asia/en/travel/nanjing/tongliao", "12Go Link")</f>
        <v>12Go Link</v>
      </c>
      <c r="E2153" s="3" t="s">
        <v>94</v>
      </c>
      <c r="K2153" s="5"/>
    </row>
    <row r="2154">
      <c r="A2154" s="3" t="s">
        <v>769</v>
      </c>
      <c r="B2154" s="3" t="s">
        <v>566</v>
      </c>
      <c r="C2154" s="3" t="s">
        <v>2316</v>
      </c>
      <c r="D2154" s="4" t="str">
        <f>HYPERLINK("https://12go.asia/en/travel/nanjing/wenjiang", "12Go Link")</f>
        <v>12Go Link</v>
      </c>
      <c r="E2154" s="3" t="s">
        <v>94</v>
      </c>
      <c r="K2154" s="5"/>
    </row>
    <row r="2155">
      <c r="A2155" s="3" t="s">
        <v>769</v>
      </c>
      <c r="B2155" s="3" t="s">
        <v>712</v>
      </c>
      <c r="C2155" s="3" t="s">
        <v>2317</v>
      </c>
      <c r="D2155" s="4" t="str">
        <f>HYPERLINK("https://12go.asia/en/travel/nanjing/xihu", "12Go Link")</f>
        <v>12Go Link</v>
      </c>
      <c r="E2155" s="3" t="s">
        <v>94</v>
      </c>
      <c r="K2155" s="5"/>
    </row>
    <row r="2156">
      <c r="A2156" s="3" t="s">
        <v>769</v>
      </c>
      <c r="B2156" s="3" t="s">
        <v>570</v>
      </c>
      <c r="C2156" s="3" t="s">
        <v>2318</v>
      </c>
      <c r="D2156" s="4" t="str">
        <f>HYPERLINK("https://12go.asia/en/travel/nanjing-south/xining", "12Go Link")</f>
        <v>12Go Link</v>
      </c>
      <c r="E2156" s="3" t="s">
        <v>94</v>
      </c>
      <c r="K2156" s="5"/>
    </row>
    <row r="2157">
      <c r="A2157" s="3" t="s">
        <v>769</v>
      </c>
      <c r="B2157" s="3" t="s">
        <v>806</v>
      </c>
      <c r="C2157" s="3" t="s">
        <v>2319</v>
      </c>
      <c r="D2157" s="4" t="str">
        <f>HYPERLINK("https://12go.asia/en/travel/nanjing-south/xinyang-east", "12Go Link")</f>
        <v>12Go Link</v>
      </c>
      <c r="E2157" s="3" t="s">
        <v>94</v>
      </c>
      <c r="K2157" s="5"/>
    </row>
    <row r="2158">
      <c r="A2158" s="3" t="s">
        <v>769</v>
      </c>
      <c r="B2158" s="3" t="s">
        <v>806</v>
      </c>
      <c r="C2158" s="3" t="s">
        <v>2320</v>
      </c>
      <c r="D2158" s="4" t="str">
        <f>HYPERLINK("https://12go.asia/en/travel/nanjing/xinyang", "12Go Link")</f>
        <v>12Go Link</v>
      </c>
      <c r="E2158" s="3" t="s">
        <v>94</v>
      </c>
      <c r="K2158" s="5"/>
    </row>
    <row r="2159">
      <c r="A2159" s="3" t="s">
        <v>769</v>
      </c>
      <c r="B2159" s="3" t="s">
        <v>573</v>
      </c>
      <c r="C2159" s="3" t="s">
        <v>2321</v>
      </c>
      <c r="D2159" s="4" t="str">
        <f>HYPERLINK("https://12go.asia/en/travel/nanjing/xinyi", "12Go Link")</f>
        <v>12Go Link</v>
      </c>
      <c r="E2159" s="3" t="s">
        <v>94</v>
      </c>
      <c r="K2159" s="5"/>
    </row>
    <row r="2160">
      <c r="A2160" s="3" t="s">
        <v>769</v>
      </c>
      <c r="B2160" s="3" t="s">
        <v>575</v>
      </c>
      <c r="C2160" s="3" t="s">
        <v>2322</v>
      </c>
      <c r="D2160" s="4" t="str">
        <f>HYPERLINK("https://12go.asia/en/travel/nanjing/xishui", "12Go Link")</f>
        <v>12Go Link</v>
      </c>
      <c r="E2160" s="3" t="s">
        <v>94</v>
      </c>
      <c r="K2160" s="5"/>
    </row>
    <row r="2161">
      <c r="A2161" s="3" t="s">
        <v>769</v>
      </c>
      <c r="B2161" s="3" t="s">
        <v>577</v>
      </c>
      <c r="C2161" s="3" t="s">
        <v>2323</v>
      </c>
      <c r="D2161" s="4" t="str">
        <f>HYPERLINK("https://12go.asia/en/travel/nanjing/xunxian", "12Go Link")</f>
        <v>12Go Link</v>
      </c>
      <c r="E2161" s="3" t="s">
        <v>94</v>
      </c>
      <c r="K2161" s="5"/>
    </row>
    <row r="2162">
      <c r="A2162" s="3" t="s">
        <v>769</v>
      </c>
      <c r="B2162" s="3" t="s">
        <v>591</v>
      </c>
      <c r="C2162" s="3" t="s">
        <v>2324</v>
      </c>
      <c r="D2162" s="4" t="str">
        <f>HYPERLINK("https://12go.asia/en/travel/nanjing/yanan", "12Go Link")</f>
        <v>12Go Link</v>
      </c>
      <c r="E2162" s="3" t="s">
        <v>94</v>
      </c>
      <c r="K2162" s="5"/>
    </row>
    <row r="2163">
      <c r="A2163" s="3" t="s">
        <v>769</v>
      </c>
      <c r="B2163" s="3" t="s">
        <v>819</v>
      </c>
      <c r="C2163" s="3" t="s">
        <v>2325</v>
      </c>
      <c r="D2163" s="4" t="str">
        <f>HYPERLINK("https://12go.asia/en/travel/nanjing-south/yueyang-east", "12Go Link")</f>
        <v>12Go Link</v>
      </c>
      <c r="E2163" s="3" t="s">
        <v>94</v>
      </c>
      <c r="K2163" s="5"/>
    </row>
    <row r="2164">
      <c r="A2164" s="3" t="s">
        <v>769</v>
      </c>
      <c r="B2164" s="3" t="s">
        <v>819</v>
      </c>
      <c r="C2164" s="3" t="s">
        <v>2326</v>
      </c>
      <c r="D2164" s="4" t="str">
        <f>HYPERLINK("https://12go.asia/en/travel/nanjing/yueyang", "12Go Link")</f>
        <v>12Go Link</v>
      </c>
      <c r="E2164" s="3" t="s">
        <v>94</v>
      </c>
      <c r="K2164" s="5"/>
    </row>
    <row r="2165">
      <c r="A2165" s="3" t="s">
        <v>769</v>
      </c>
      <c r="B2165" s="3" t="s">
        <v>1559</v>
      </c>
      <c r="C2165" s="3" t="s">
        <v>2327</v>
      </c>
      <c r="D2165" s="4" t="str">
        <f>HYPERLINK("https://12go.asia/en/travel/nanjing/yulin-guangxi", "12Go Link")</f>
        <v>12Go Link</v>
      </c>
      <c r="E2165" s="3" t="s">
        <v>94</v>
      </c>
      <c r="K2165" s="5"/>
    </row>
    <row r="2166">
      <c r="A2166" s="3" t="s">
        <v>769</v>
      </c>
      <c r="B2166" s="3" t="s">
        <v>582</v>
      </c>
      <c r="C2166" s="3" t="s">
        <v>2328</v>
      </c>
      <c r="D2166" s="4" t="str">
        <f>HYPERLINK("https://12go.asia/en/travel/nanjing-south/yuncheng-north", "12Go Link")</f>
        <v>12Go Link</v>
      </c>
      <c r="E2166" s="3" t="s">
        <v>94</v>
      </c>
      <c r="K2166" s="5"/>
    </row>
    <row r="2167">
      <c r="A2167" s="3" t="s">
        <v>769</v>
      </c>
      <c r="B2167" s="3" t="s">
        <v>582</v>
      </c>
      <c r="C2167" s="3" t="s">
        <v>2329</v>
      </c>
      <c r="D2167" s="4" t="str">
        <f>HYPERLINK("https://12go.asia/en/travel/nanjing/yuncheng", "12Go Link")</f>
        <v>12Go Link</v>
      </c>
      <c r="E2167" s="3" t="s">
        <v>94</v>
      </c>
      <c r="K2167" s="5"/>
    </row>
    <row r="2168">
      <c r="A2168" s="3" t="s">
        <v>769</v>
      </c>
      <c r="B2168" s="3" t="s">
        <v>1017</v>
      </c>
      <c r="C2168" s="3" t="s">
        <v>2330</v>
      </c>
      <c r="D2168" s="4" t="str">
        <f>HYPERLINK("https://12go.asia/en/travel/nanjing-south/xintang", "12Go Link")</f>
        <v>12Go Link</v>
      </c>
      <c r="E2168" s="3" t="s">
        <v>94</v>
      </c>
      <c r="K2168" s="5"/>
    </row>
    <row r="2169">
      <c r="A2169" s="3" t="s">
        <v>769</v>
      </c>
      <c r="B2169" s="3" t="s">
        <v>1017</v>
      </c>
      <c r="C2169" s="3" t="s">
        <v>2331</v>
      </c>
      <c r="D2169" s="4" t="str">
        <f>HYPERLINK("https://12go.asia/en/travel/nanjing/zengcheng", "12Go Link")</f>
        <v>12Go Link</v>
      </c>
      <c r="E2169" s="3" t="s">
        <v>94</v>
      </c>
      <c r="K2169" s="5"/>
    </row>
    <row r="2170">
      <c r="A2170" s="3" t="s">
        <v>769</v>
      </c>
      <c r="B2170" s="3" t="s">
        <v>585</v>
      </c>
      <c r="C2170" s="3" t="s">
        <v>2332</v>
      </c>
      <c r="D2170" s="4" t="str">
        <f>HYPERLINK("https://12go.asia/en/travel/nanjing-south/zhengzhou-hangkonggang", "12Go Link")</f>
        <v>12Go Link</v>
      </c>
      <c r="E2170" s="3" t="s">
        <v>94</v>
      </c>
      <c r="K2170" s="5"/>
    </row>
    <row r="2171">
      <c r="A2171" s="3" t="s">
        <v>769</v>
      </c>
      <c r="B2171" s="3" t="s">
        <v>724</v>
      </c>
      <c r="C2171" s="3" t="s">
        <v>2333</v>
      </c>
      <c r="D2171" s="4" t="str">
        <f>HYPERLINK("https://12go.asia/en/travel/nanjing/zhongwei", "12Go Link")</f>
        <v>12Go Link</v>
      </c>
      <c r="E2171" s="3" t="s">
        <v>94</v>
      </c>
      <c r="K2171" s="5"/>
    </row>
    <row r="2172">
      <c r="A2172" s="3" t="s">
        <v>1534</v>
      </c>
      <c r="B2172" s="3" t="s">
        <v>587</v>
      </c>
      <c r="C2172" s="3" t="s">
        <v>2334</v>
      </c>
      <c r="D2172" s="4" t="str">
        <f>HYPERLINK("https://12go.asia/en/travel/nanning-east/baoding", "12Go Link")</f>
        <v>12Go Link</v>
      </c>
      <c r="E2172" s="3" t="s">
        <v>94</v>
      </c>
      <c r="K2172" s="5"/>
    </row>
    <row r="2173">
      <c r="A2173" s="3" t="s">
        <v>1534</v>
      </c>
      <c r="B2173" s="3" t="s">
        <v>1208</v>
      </c>
      <c r="C2173" s="3" t="s">
        <v>2335</v>
      </c>
      <c r="D2173" s="4" t="str">
        <f>HYPERLINK("https://12go.asia/en/travel/nanning/shuangliu-airport", "12Go Link")</f>
        <v>12Go Link</v>
      </c>
      <c r="E2173" s="3" t="s">
        <v>94</v>
      </c>
      <c r="K2173" s="5"/>
    </row>
    <row r="2174">
      <c r="A2174" s="3" t="s">
        <v>1534</v>
      </c>
      <c r="B2174" s="3" t="s">
        <v>524</v>
      </c>
      <c r="C2174" s="3" t="s">
        <v>2336</v>
      </c>
      <c r="D2174" s="4" t="str">
        <f>HYPERLINK("https://12go.asia/en/travel/nanning/guzhang", "12Go Link")</f>
        <v>12Go Link</v>
      </c>
      <c r="E2174" s="3" t="s">
        <v>94</v>
      </c>
      <c r="K2174" s="5"/>
    </row>
    <row r="2175">
      <c r="A2175" s="3" t="s">
        <v>1534</v>
      </c>
      <c r="B2175" s="3" t="s">
        <v>620</v>
      </c>
      <c r="C2175" s="3" t="s">
        <v>2337</v>
      </c>
      <c r="D2175" s="4" t="str">
        <f>HYPERLINK("https://12go.asia/en/travel/nanning/hengqin-island", "12Go Link")</f>
        <v>12Go Link</v>
      </c>
      <c r="E2175" s="3" t="s">
        <v>94</v>
      </c>
      <c r="K2175" s="5"/>
    </row>
    <row r="2176">
      <c r="A2176" s="3" t="s">
        <v>1534</v>
      </c>
      <c r="B2176" s="3" t="s">
        <v>624</v>
      </c>
      <c r="C2176" s="3" t="s">
        <v>2338</v>
      </c>
      <c r="D2176" s="4" t="str">
        <f>HYPERLINK("https://12go.asia/en/travel/nanning/hong-kong-island", "12Go Link")</f>
        <v>12Go Link</v>
      </c>
      <c r="E2176" s="3" t="s">
        <v>94</v>
      </c>
      <c r="K2176" s="5"/>
    </row>
    <row r="2177">
      <c r="A2177" s="3" t="s">
        <v>1534</v>
      </c>
      <c r="B2177" s="3" t="s">
        <v>643</v>
      </c>
      <c r="C2177" s="3" t="s">
        <v>2339</v>
      </c>
      <c r="D2177" s="4" t="str">
        <f>HYPERLINK("https://12go.asia/en/travel/nanning/jiangning", "12Go Link")</f>
        <v>12Go Link</v>
      </c>
      <c r="E2177" s="3" t="s">
        <v>94</v>
      </c>
      <c r="K2177" s="5"/>
    </row>
    <row r="2178">
      <c r="A2178" s="3" t="s">
        <v>1534</v>
      </c>
      <c r="B2178" s="3" t="s">
        <v>540</v>
      </c>
      <c r="C2178" s="3" t="s">
        <v>2340</v>
      </c>
      <c r="D2178" s="4" t="str">
        <f>HYPERLINK("https://12go.asia/en/travel/nanning/jiangzhou", "12Go Link")</f>
        <v>12Go Link</v>
      </c>
      <c r="E2178" s="3" t="s">
        <v>94</v>
      </c>
      <c r="K2178" s="5"/>
    </row>
    <row r="2179">
      <c r="A2179" s="3" t="s">
        <v>1534</v>
      </c>
      <c r="B2179" s="3" t="s">
        <v>542</v>
      </c>
      <c r="C2179" s="3" t="s">
        <v>2341</v>
      </c>
      <c r="D2179" s="4" t="str">
        <f>HYPERLINK("https://12go.asia/en/travel/nanning/jiaocheng", "12Go Link")</f>
        <v>12Go Link</v>
      </c>
      <c r="E2179" s="3" t="s">
        <v>94</v>
      </c>
      <c r="K2179" s="5"/>
    </row>
    <row r="2180">
      <c r="A2180" s="3" t="s">
        <v>1534</v>
      </c>
      <c r="B2180" s="3" t="s">
        <v>914</v>
      </c>
      <c r="C2180" s="3" t="s">
        <v>2342</v>
      </c>
      <c r="D2180" s="4" t="str">
        <f>HYPERLINK("https://12go.asia/en/travel/nanning/pujiangzhen", "12Go Link")</f>
        <v>12Go Link</v>
      </c>
      <c r="E2180" s="3" t="s">
        <v>94</v>
      </c>
      <c r="K2180" s="5"/>
    </row>
    <row r="2181">
      <c r="A2181" s="3" t="s">
        <v>1534</v>
      </c>
      <c r="B2181" s="3" t="s">
        <v>1174</v>
      </c>
      <c r="C2181" s="3" t="s">
        <v>2343</v>
      </c>
      <c r="D2181" s="4" t="str">
        <f>HYPERLINK("https://12go.asia/en/travel/nanning-east/quzhou", "12Go Link")</f>
        <v>12Go Link</v>
      </c>
      <c r="E2181" s="3" t="s">
        <v>94</v>
      </c>
      <c r="K2181" s="5"/>
    </row>
    <row r="2182">
      <c r="A2182" s="3" t="s">
        <v>1534</v>
      </c>
      <c r="B2182" s="3" t="s">
        <v>1174</v>
      </c>
      <c r="C2182" s="3" t="s">
        <v>2344</v>
      </c>
      <c r="D2182" s="4" t="str">
        <f>HYPERLINK("https://12go.asia/en/travel/nanning/quzhou", "12Go Link")</f>
        <v>12Go Link</v>
      </c>
      <c r="E2182" s="3" t="s">
        <v>94</v>
      </c>
      <c r="K2182" s="5"/>
    </row>
    <row r="2183">
      <c r="A2183" s="3" t="s">
        <v>1534</v>
      </c>
      <c r="B2183" s="3" t="s">
        <v>550</v>
      </c>
      <c r="C2183" s="3" t="s">
        <v>2345</v>
      </c>
      <c r="D2183" s="4" t="str">
        <f>HYPERLINK("https://12go.asia/en/travel/nanning/saihan", "12Go Link")</f>
        <v>12Go Link</v>
      </c>
      <c r="E2183" s="3" t="s">
        <v>94</v>
      </c>
      <c r="K2183" s="5"/>
    </row>
    <row r="2184">
      <c r="A2184" s="3" t="s">
        <v>1534</v>
      </c>
      <c r="B2184" s="3" t="s">
        <v>2346</v>
      </c>
      <c r="C2184" s="3" t="s">
        <v>2347</v>
      </c>
      <c r="D2184" s="4" t="str">
        <f>HYPERLINK("https://12go.asia/en/travel/nanning/changning", "12Go Link")</f>
        <v>12Go Link</v>
      </c>
      <c r="E2184" s="3" t="s">
        <v>94</v>
      </c>
      <c r="K2184" s="5"/>
    </row>
    <row r="2185">
      <c r="A2185" s="3" t="s">
        <v>1534</v>
      </c>
      <c r="B2185" s="3" t="s">
        <v>1312</v>
      </c>
      <c r="C2185" s="3" t="s">
        <v>2348</v>
      </c>
      <c r="D2185" s="4" t="str">
        <f>HYPERLINK("https://12go.asia/en/travel/nanning-east/shaoyang", "12Go Link")</f>
        <v>12Go Link</v>
      </c>
      <c r="E2185" s="3" t="s">
        <v>94</v>
      </c>
      <c r="K2185" s="5"/>
    </row>
    <row r="2186">
      <c r="A2186" s="3" t="s">
        <v>1534</v>
      </c>
      <c r="B2186" s="3" t="s">
        <v>1312</v>
      </c>
      <c r="C2186" s="3" t="s">
        <v>2349</v>
      </c>
      <c r="D2186" s="4" t="str">
        <f>HYPERLINK("https://12go.asia/en/travel/nanning-east/shaoyang-west", "12Go Link")</f>
        <v>12Go Link</v>
      </c>
      <c r="E2186" s="3" t="s">
        <v>94</v>
      </c>
      <c r="K2186" s="5"/>
    </row>
    <row r="2187">
      <c r="A2187" s="3" t="s">
        <v>1534</v>
      </c>
      <c r="B2187" s="3" t="s">
        <v>1312</v>
      </c>
      <c r="C2187" s="3" t="s">
        <v>2350</v>
      </c>
      <c r="D2187" s="4" t="str">
        <f>HYPERLINK("https://12go.asia/en/travel/nanning/shaoyang", "12Go Link")</f>
        <v>12Go Link</v>
      </c>
      <c r="E2187" s="3" t="s">
        <v>94</v>
      </c>
      <c r="K2187" s="5"/>
    </row>
    <row r="2188">
      <c r="A2188" s="3" t="s">
        <v>1534</v>
      </c>
      <c r="B2188" s="3" t="s">
        <v>1312</v>
      </c>
      <c r="C2188" s="3" t="s">
        <v>2351</v>
      </c>
      <c r="D2188" s="4" t="str">
        <f>HYPERLINK("https://12go.asia/en/travel/nanning/shaoyang-west", "12Go Link")</f>
        <v>12Go Link</v>
      </c>
      <c r="E2188" s="3" t="s">
        <v>94</v>
      </c>
      <c r="K2188" s="5"/>
    </row>
    <row r="2189">
      <c r="A2189" s="3" t="s">
        <v>1534</v>
      </c>
      <c r="B2189" s="3" t="s">
        <v>560</v>
      </c>
      <c r="C2189" s="3" t="s">
        <v>2352</v>
      </c>
      <c r="D2189" s="4" t="str">
        <f>HYPERLINK("https://12go.asia/en/travel/nanning/shuangliu", "12Go Link")</f>
        <v>12Go Link</v>
      </c>
      <c r="E2189" s="3" t="s">
        <v>94</v>
      </c>
      <c r="K2189" s="5"/>
    </row>
    <row r="2190">
      <c r="A2190" s="3" t="s">
        <v>1534</v>
      </c>
      <c r="B2190" s="3" t="s">
        <v>562</v>
      </c>
      <c r="C2190" s="3" t="s">
        <v>2353</v>
      </c>
      <c r="D2190" s="4" t="str">
        <f>HYPERLINK("https://12go.asia/en/travel/nanning-east/longdongbao", "12Go Link")</f>
        <v>12Go Link</v>
      </c>
      <c r="E2190" s="3" t="s">
        <v>94</v>
      </c>
      <c r="K2190" s="5"/>
    </row>
    <row r="2191">
      <c r="A2191" s="3" t="s">
        <v>1534</v>
      </c>
      <c r="B2191" s="3" t="s">
        <v>917</v>
      </c>
      <c r="C2191" s="3" t="s">
        <v>2354</v>
      </c>
      <c r="D2191" s="4" t="str">
        <f>HYPERLINK("https://12go.asia/en/travel/nanning-east/shanghai-songjiang", "12Go Link")</f>
        <v>12Go Link</v>
      </c>
      <c r="E2191" s="3" t="s">
        <v>94</v>
      </c>
      <c r="K2191" s="5"/>
    </row>
    <row r="2192">
      <c r="A2192" s="3" t="s">
        <v>1534</v>
      </c>
      <c r="B2192" s="3" t="s">
        <v>917</v>
      </c>
      <c r="C2192" s="3" t="s">
        <v>2355</v>
      </c>
      <c r="D2192" s="4" t="str">
        <f>HYPERLINK("https://12go.asia/en/travel/nanning/songjiang-shanghai", "12Go Link")</f>
        <v>12Go Link</v>
      </c>
      <c r="E2192" s="3" t="s">
        <v>94</v>
      </c>
      <c r="K2192" s="5"/>
    </row>
    <row r="2193">
      <c r="A2193" s="3" t="s">
        <v>1534</v>
      </c>
      <c r="B2193" s="3" t="s">
        <v>564</v>
      </c>
      <c r="C2193" s="3" t="s">
        <v>2356</v>
      </c>
      <c r="D2193" s="4" t="str">
        <f>HYPERLINK("https://12go.asia/en/travel/nanning/tianxin", "12Go Link")</f>
        <v>12Go Link</v>
      </c>
      <c r="E2193" s="3" t="s">
        <v>94</v>
      </c>
      <c r="K2193" s="5"/>
    </row>
    <row r="2194">
      <c r="A2194" s="3" t="s">
        <v>1534</v>
      </c>
      <c r="B2194" s="3" t="s">
        <v>566</v>
      </c>
      <c r="C2194" s="3" t="s">
        <v>2357</v>
      </c>
      <c r="D2194" s="4" t="str">
        <f>HYPERLINK("https://12go.asia/en/travel/nanning/wenjiang", "12Go Link")</f>
        <v>12Go Link</v>
      </c>
      <c r="E2194" s="3" t="s">
        <v>94</v>
      </c>
      <c r="K2194" s="5"/>
    </row>
    <row r="2195">
      <c r="A2195" s="3" t="s">
        <v>1534</v>
      </c>
      <c r="B2195" s="3" t="s">
        <v>798</v>
      </c>
      <c r="C2195" s="3" t="s">
        <v>2358</v>
      </c>
      <c r="D2195" s="4" t="str">
        <f>HYPERLINK("https://12go.asia/en/travel/nanning/wuxi", "12Go Link")</f>
        <v>12Go Link</v>
      </c>
      <c r="E2195" s="3" t="s">
        <v>94</v>
      </c>
      <c r="K2195" s="5"/>
    </row>
    <row r="2196">
      <c r="A2196" s="3" t="s">
        <v>1534</v>
      </c>
      <c r="B2196" s="3" t="s">
        <v>798</v>
      </c>
      <c r="C2196" s="3" t="s">
        <v>2359</v>
      </c>
      <c r="D2196" s="4" t="str">
        <f>HYPERLINK("https://12go.asia/en/travel/nanning/wuxi-jiangsu", "12Go Link")</f>
        <v>12Go Link</v>
      </c>
      <c r="E2196" s="3" t="s">
        <v>94</v>
      </c>
      <c r="K2196" s="5"/>
    </row>
    <row r="2197">
      <c r="A2197" s="3" t="s">
        <v>1534</v>
      </c>
      <c r="B2197" s="3" t="s">
        <v>2360</v>
      </c>
      <c r="C2197" s="3" t="s">
        <v>2361</v>
      </c>
      <c r="D2197" s="4" t="str">
        <f>HYPERLINK("https://12go.asia/en/travel/nanning-east/wuyishan-north", "12Go Link")</f>
        <v>12Go Link</v>
      </c>
      <c r="E2197" s="3" t="s">
        <v>94</v>
      </c>
      <c r="K2197" s="5"/>
    </row>
    <row r="2198">
      <c r="A2198" s="3" t="s">
        <v>1534</v>
      </c>
      <c r="B2198" s="3" t="s">
        <v>2360</v>
      </c>
      <c r="C2198" s="3" t="s">
        <v>2362</v>
      </c>
      <c r="D2198" s="4" t="str">
        <f>HYPERLINK("https://12go.asia/en/travel/nanning/wuyishan-fujian", "12Go Link")</f>
        <v>12Go Link</v>
      </c>
      <c r="E2198" s="3" t="s">
        <v>94</v>
      </c>
      <c r="K2198" s="5"/>
    </row>
    <row r="2199">
      <c r="A2199" s="3" t="s">
        <v>1534</v>
      </c>
      <c r="B2199" s="3" t="s">
        <v>2360</v>
      </c>
      <c r="C2199" s="3" t="s">
        <v>2363</v>
      </c>
      <c r="D2199" s="4" t="str">
        <f>HYPERLINK("https://12go.asia/en/travel/nanning/wuyishan-north", "12Go Link")</f>
        <v>12Go Link</v>
      </c>
      <c r="E2199" s="3" t="s">
        <v>94</v>
      </c>
      <c r="K2199" s="5"/>
    </row>
    <row r="2200">
      <c r="A2200" s="3" t="s">
        <v>1534</v>
      </c>
      <c r="B2200" s="3" t="s">
        <v>712</v>
      </c>
      <c r="C2200" s="3" t="s">
        <v>2364</v>
      </c>
      <c r="D2200" s="4" t="str">
        <f>HYPERLINK("https://12go.asia/en/travel/nanning/xihu", "12Go Link")</f>
        <v>12Go Link</v>
      </c>
      <c r="E2200" s="3" t="s">
        <v>94</v>
      </c>
      <c r="K2200" s="5"/>
    </row>
    <row r="2201">
      <c r="A2201" s="3" t="s">
        <v>1534</v>
      </c>
      <c r="B2201" s="3" t="s">
        <v>575</v>
      </c>
      <c r="C2201" s="3" t="s">
        <v>2365</v>
      </c>
      <c r="D2201" s="4" t="str">
        <f>HYPERLINK("https://12go.asia/en/travel/nanning/xishui", "12Go Link")</f>
        <v>12Go Link</v>
      </c>
      <c r="E2201" s="3" t="s">
        <v>94</v>
      </c>
      <c r="K2201" s="5"/>
    </row>
    <row r="2202">
      <c r="A2202" s="3" t="s">
        <v>1534</v>
      </c>
      <c r="B2202" s="3" t="s">
        <v>720</v>
      </c>
      <c r="C2202" s="3" t="s">
        <v>2366</v>
      </c>
      <c r="D2202" s="4" t="str">
        <f>HYPERLINK("https://12go.asia/en/travel/nanning/yangchun", "12Go Link")</f>
        <v>12Go Link</v>
      </c>
      <c r="E2202" s="3" t="s">
        <v>94</v>
      </c>
      <c r="K2202" s="5"/>
    </row>
    <row r="2203">
      <c r="A2203" s="3" t="s">
        <v>1534</v>
      </c>
      <c r="B2203" s="3" t="s">
        <v>727</v>
      </c>
      <c r="C2203" s="3" t="s">
        <v>2367</v>
      </c>
      <c r="D2203" s="4" t="str">
        <f>HYPERLINK("https://12go.asia/en/travel/nanning/zhuzhou", "12Go Link")</f>
        <v>12Go Link</v>
      </c>
      <c r="E2203" s="3" t="s">
        <v>94</v>
      </c>
      <c r="K2203" s="5"/>
    </row>
    <row r="2204">
      <c r="A2204" s="3" t="s">
        <v>1462</v>
      </c>
      <c r="B2204" s="3" t="s">
        <v>1386</v>
      </c>
      <c r="C2204" s="3" t="s">
        <v>2368</v>
      </c>
      <c r="D2204" s="4" t="str">
        <f>HYPERLINK("https://12go.asia/en/travel/nantong/luoyang", "12Go Link")</f>
        <v>12Go Link</v>
      </c>
      <c r="E2204" s="3" t="s">
        <v>94</v>
      </c>
      <c r="K2204" s="5"/>
    </row>
    <row r="2205">
      <c r="A2205" s="3" t="s">
        <v>546</v>
      </c>
      <c r="B2205" s="3" t="s">
        <v>1749</v>
      </c>
      <c r="C2205" s="3" t="s">
        <v>2369</v>
      </c>
      <c r="D2205" s="4" t="str">
        <f>HYPERLINK("https://12go.asia/en/travel/nanyang/hami", "12Go Link")</f>
        <v>12Go Link</v>
      </c>
      <c r="E2205" s="3" t="s">
        <v>94</v>
      </c>
      <c r="K2205" s="5"/>
    </row>
    <row r="2206">
      <c r="A2206" s="3" t="s">
        <v>546</v>
      </c>
      <c r="B2206" s="3" t="s">
        <v>585</v>
      </c>
      <c r="C2206" s="3" t="s">
        <v>2370</v>
      </c>
      <c r="D2206" s="4" t="str">
        <f>HYPERLINK("https://12go.asia/en/travel/nanyang-east/zhengzhou", "12Go Link")</f>
        <v>12Go Link</v>
      </c>
      <c r="E2206" s="3" t="s">
        <v>94</v>
      </c>
      <c r="K2206" s="5"/>
    </row>
    <row r="2207">
      <c r="A2207" s="3" t="s">
        <v>546</v>
      </c>
      <c r="B2207" s="3" t="s">
        <v>585</v>
      </c>
      <c r="C2207" s="3" t="s">
        <v>2371</v>
      </c>
      <c r="D2207" s="4" t="str">
        <f>HYPERLINK("https://12go.asia/en/travel/nanyang-east/zhengzhou-east", "12Go Link")</f>
        <v>12Go Link</v>
      </c>
      <c r="E2207" s="3" t="s">
        <v>94</v>
      </c>
      <c r="K2207" s="5"/>
    </row>
    <row r="2208">
      <c r="A2208" s="3" t="s">
        <v>546</v>
      </c>
      <c r="B2208" s="3" t="s">
        <v>585</v>
      </c>
      <c r="C2208" s="3" t="s">
        <v>2372</v>
      </c>
      <c r="D2208" s="4" t="str">
        <f>HYPERLINK("https://12go.asia/en/travel/nanyang-east/zhengzhou-hangkonggang", "12Go Link")</f>
        <v>12Go Link</v>
      </c>
      <c r="E2208" s="3" t="s">
        <v>94</v>
      </c>
      <c r="K2208" s="5"/>
    </row>
    <row r="2209">
      <c r="A2209" s="3" t="s">
        <v>684</v>
      </c>
      <c r="B2209" s="3" t="s">
        <v>1713</v>
      </c>
      <c r="C2209" s="3" t="s">
        <v>2373</v>
      </c>
      <c r="D2209" s="4" t="str">
        <f>HYPERLINK("https://12go.asia/en/travel/neijiang-north/guiyang-east", "12Go Link")</f>
        <v>12Go Link</v>
      </c>
      <c r="E2209" s="3" t="s">
        <v>94</v>
      </c>
      <c r="K2209" s="5"/>
    </row>
    <row r="2210">
      <c r="A2210" s="3" t="s">
        <v>684</v>
      </c>
      <c r="B2210" s="3" t="s">
        <v>1713</v>
      </c>
      <c r="C2210" s="3" t="s">
        <v>2374</v>
      </c>
      <c r="D2210" s="4" t="str">
        <f>HYPERLINK("https://12go.asia/en/travel/neijiang-north/guiyang-north", "12Go Link")</f>
        <v>12Go Link</v>
      </c>
      <c r="E2210" s="3" t="s">
        <v>94</v>
      </c>
      <c r="K2210" s="5"/>
    </row>
    <row r="2211">
      <c r="A2211" s="3" t="s">
        <v>684</v>
      </c>
      <c r="B2211" s="3" t="s">
        <v>1713</v>
      </c>
      <c r="C2211" s="3" t="s">
        <v>2375</v>
      </c>
      <c r="D2211" s="4" t="str">
        <f>HYPERLINK("https://12go.asia/en/travel/neijiang/guiyang", "12Go Link")</f>
        <v>12Go Link</v>
      </c>
      <c r="E2211" s="3" t="s">
        <v>94</v>
      </c>
      <c r="K2211" s="5"/>
    </row>
    <row r="2212">
      <c r="A2212" s="3" t="s">
        <v>684</v>
      </c>
      <c r="B2212" s="3" t="s">
        <v>524</v>
      </c>
      <c r="C2212" s="3" t="s">
        <v>2376</v>
      </c>
      <c r="D2212" s="4" t="str">
        <f>HYPERLINK("https://12go.asia/en/travel/neijiang/guzhang", "12Go Link")</f>
        <v>12Go Link</v>
      </c>
      <c r="E2212" s="3" t="s">
        <v>94</v>
      </c>
      <c r="K2212" s="5"/>
    </row>
    <row r="2213">
      <c r="A2213" s="3" t="s">
        <v>684</v>
      </c>
      <c r="B2213" s="3" t="s">
        <v>536</v>
      </c>
      <c r="C2213" s="3" t="s">
        <v>2377</v>
      </c>
      <c r="D2213" s="4" t="str">
        <f>HYPERLINK("https://12go.asia/en/travel/neijiang/hunan", "12Go Link")</f>
        <v>12Go Link</v>
      </c>
      <c r="E2213" s="3" t="s">
        <v>94</v>
      </c>
      <c r="K2213" s="5"/>
    </row>
    <row r="2214">
      <c r="A2214" s="3" t="s">
        <v>684</v>
      </c>
      <c r="B2214" s="3" t="s">
        <v>655</v>
      </c>
      <c r="C2214" s="3" t="s">
        <v>2378</v>
      </c>
      <c r="D2214" s="4" t="str">
        <f>HYPERLINK("https://12go.asia/en/travel/neijiang/jiaxiang", "12Go Link")</f>
        <v>12Go Link</v>
      </c>
      <c r="E2214" s="3" t="s">
        <v>94</v>
      </c>
      <c r="K2214" s="5"/>
    </row>
    <row r="2215">
      <c r="A2215" s="3" t="s">
        <v>684</v>
      </c>
      <c r="B2215" s="3" t="s">
        <v>1529</v>
      </c>
      <c r="C2215" s="3" t="s">
        <v>2379</v>
      </c>
      <c r="D2215" s="4" t="str">
        <f>HYPERLINK("https://12go.asia/en/travel/neijiang-north/kunming-south", "12Go Link")</f>
        <v>12Go Link</v>
      </c>
      <c r="E2215" s="3" t="s">
        <v>94</v>
      </c>
      <c r="K2215" s="5"/>
    </row>
    <row r="2216">
      <c r="A2216" s="3" t="s">
        <v>684</v>
      </c>
      <c r="B2216" s="3" t="s">
        <v>1529</v>
      </c>
      <c r="C2216" s="3" t="s">
        <v>2380</v>
      </c>
      <c r="D2216" s="4" t="str">
        <f>HYPERLINK("https://12go.asia/en/travel/neijiang/kunming", "12Go Link")</f>
        <v>12Go Link</v>
      </c>
      <c r="E2216" s="3" t="s">
        <v>94</v>
      </c>
      <c r="K2216" s="5"/>
    </row>
    <row r="2217">
      <c r="A2217" s="3" t="s">
        <v>684</v>
      </c>
      <c r="B2217" s="3" t="s">
        <v>1217</v>
      </c>
      <c r="C2217" s="3" t="s">
        <v>2381</v>
      </c>
      <c r="D2217" s="4" t="str">
        <f>HYPERLINK("https://12go.asia/en/travel/neijiang-north/longchang-north", "12Go Link")</f>
        <v>12Go Link</v>
      </c>
      <c r="E2217" s="3" t="s">
        <v>94</v>
      </c>
      <c r="K2217" s="5"/>
    </row>
    <row r="2218">
      <c r="A2218" s="3" t="s">
        <v>684</v>
      </c>
      <c r="B2218" s="3" t="s">
        <v>1217</v>
      </c>
      <c r="C2218" s="3" t="s">
        <v>2382</v>
      </c>
      <c r="D2218" s="4" t="str">
        <f>HYPERLINK("https://12go.asia/en/travel/neijiang/longchang", "12Go Link")</f>
        <v>12Go Link</v>
      </c>
      <c r="E2218" s="3" t="s">
        <v>94</v>
      </c>
      <c r="K2218" s="5"/>
    </row>
    <row r="2219">
      <c r="A2219" s="3" t="s">
        <v>684</v>
      </c>
      <c r="B2219" s="3" t="s">
        <v>1467</v>
      </c>
      <c r="C2219" s="3" t="s">
        <v>2383</v>
      </c>
      <c r="D2219" s="4" t="str">
        <f>HYPERLINK("https://12go.asia/en/travel/neijiang-north/qingdao", "12Go Link")</f>
        <v>12Go Link</v>
      </c>
      <c r="E2219" s="3" t="s">
        <v>94</v>
      </c>
      <c r="K2219" s="5"/>
    </row>
    <row r="2220">
      <c r="A2220" s="3" t="s">
        <v>684</v>
      </c>
      <c r="B2220" s="3" t="s">
        <v>1467</v>
      </c>
      <c r="C2220" s="3" t="s">
        <v>2384</v>
      </c>
      <c r="D2220" s="4" t="str">
        <f>HYPERLINK("https://12go.asia/en/travel/neijiang-north/qingdao-north", "12Go Link")</f>
        <v>12Go Link</v>
      </c>
      <c r="E2220" s="3" t="s">
        <v>94</v>
      </c>
      <c r="K2220" s="5"/>
    </row>
    <row r="2221">
      <c r="A2221" s="3" t="s">
        <v>684</v>
      </c>
      <c r="B2221" s="3" t="s">
        <v>1467</v>
      </c>
      <c r="C2221" s="3" t="s">
        <v>2385</v>
      </c>
      <c r="D2221" s="4" t="str">
        <f>HYPERLINK("https://12go.asia/en/travel/neijiang/qingdao", "12Go Link")</f>
        <v>12Go Link</v>
      </c>
      <c r="E2221" s="3" t="s">
        <v>94</v>
      </c>
      <c r="K2221" s="5"/>
    </row>
    <row r="2222">
      <c r="A2222" s="3" t="s">
        <v>684</v>
      </c>
      <c r="B2222" s="3" t="s">
        <v>550</v>
      </c>
      <c r="C2222" s="3" t="s">
        <v>2386</v>
      </c>
      <c r="D2222" s="4" t="str">
        <f>HYPERLINK("https://12go.asia/en/travel/neijiang/saihan", "12Go Link")</f>
        <v>12Go Link</v>
      </c>
      <c r="E2222" s="3" t="s">
        <v>94</v>
      </c>
      <c r="K2222" s="5"/>
    </row>
    <row r="2223">
      <c r="A2223" s="3" t="s">
        <v>684</v>
      </c>
      <c r="B2223" s="3" t="s">
        <v>552</v>
      </c>
      <c r="C2223" s="3" t="s">
        <v>2387</v>
      </c>
      <c r="D2223" s="4" t="str">
        <f>HYPERLINK("https://12go.asia/en/travel/neijiang/shaanxi", "12Go Link")</f>
        <v>12Go Link</v>
      </c>
      <c r="E2223" s="3" t="s">
        <v>94</v>
      </c>
      <c r="K2223" s="5"/>
    </row>
    <row r="2224">
      <c r="A2224" s="3" t="s">
        <v>684</v>
      </c>
      <c r="B2224" s="3" t="s">
        <v>560</v>
      </c>
      <c r="C2224" s="3" t="s">
        <v>2388</v>
      </c>
      <c r="D2224" s="4" t="str">
        <f>HYPERLINK("https://12go.asia/en/travel/neijiang/shuangliu", "12Go Link")</f>
        <v>12Go Link</v>
      </c>
      <c r="E2224" s="3" t="s">
        <v>94</v>
      </c>
      <c r="K2224" s="5"/>
    </row>
    <row r="2225">
      <c r="A2225" s="3" t="s">
        <v>684</v>
      </c>
      <c r="B2225" s="3" t="s">
        <v>1256</v>
      </c>
      <c r="C2225" s="3" t="s">
        <v>2389</v>
      </c>
      <c r="D2225" s="4" t="str">
        <f>HYPERLINK("https://12go.asia/en/travel/neijiang-north/suzhou-north", "12Go Link")</f>
        <v>12Go Link</v>
      </c>
      <c r="E2225" s="3" t="s">
        <v>94</v>
      </c>
      <c r="K2225" s="5"/>
    </row>
    <row r="2226">
      <c r="A2226" s="3" t="s">
        <v>684</v>
      </c>
      <c r="B2226" s="3" t="s">
        <v>1256</v>
      </c>
      <c r="C2226" s="3" t="s">
        <v>2390</v>
      </c>
      <c r="D2226" s="4" t="str">
        <f>HYPERLINK("https://12go.asia/en/travel/neijiang/suzhou", "12Go Link")</f>
        <v>12Go Link</v>
      </c>
      <c r="E2226" s="3" t="s">
        <v>94</v>
      </c>
      <c r="K2226" s="5"/>
    </row>
    <row r="2227">
      <c r="A2227" s="3" t="s">
        <v>684</v>
      </c>
      <c r="B2227" s="3" t="s">
        <v>564</v>
      </c>
      <c r="C2227" s="3" t="s">
        <v>2391</v>
      </c>
      <c r="D2227" s="4" t="str">
        <f>HYPERLINK("https://12go.asia/en/travel/neijiang/tianxin", "12Go Link")</f>
        <v>12Go Link</v>
      </c>
      <c r="E2227" s="3" t="s">
        <v>94</v>
      </c>
      <c r="K2227" s="5"/>
    </row>
    <row r="2228">
      <c r="A2228" s="3" t="s">
        <v>684</v>
      </c>
      <c r="B2228" s="3" t="s">
        <v>575</v>
      </c>
      <c r="C2228" s="3" t="s">
        <v>2392</v>
      </c>
      <c r="D2228" s="4" t="str">
        <f>HYPERLINK("https://12go.asia/en/travel/neijiang/xishui", "12Go Link")</f>
        <v>12Go Link</v>
      </c>
      <c r="E2228" s="3" t="s">
        <v>94</v>
      </c>
      <c r="K2228" s="5"/>
    </row>
    <row r="2229">
      <c r="A2229" s="3" t="s">
        <v>684</v>
      </c>
      <c r="B2229" s="3" t="s">
        <v>1540</v>
      </c>
      <c r="C2229" s="3" t="s">
        <v>2393</v>
      </c>
      <c r="D2229" s="4" t="str">
        <f>HYPERLINK("https://12go.asia/en/travel/neijiang/yunnan", "12Go Link")</f>
        <v>12Go Link</v>
      </c>
      <c r="E2229" s="3" t="s">
        <v>94</v>
      </c>
      <c r="K2229" s="5"/>
    </row>
    <row r="2230">
      <c r="A2230" s="3" t="s">
        <v>1612</v>
      </c>
      <c r="B2230" s="3" t="s">
        <v>2394</v>
      </c>
      <c r="C2230" s="3" t="s">
        <v>2395</v>
      </c>
      <c r="D2230" s="4" t="str">
        <f>HYPERLINK("https://12go.asia/en/travel/ningbo/jieshou", "12Go Link")</f>
        <v>12Go Link</v>
      </c>
      <c r="E2230" s="3" t="s">
        <v>94</v>
      </c>
      <c r="K2230" s="5"/>
    </row>
    <row r="2231">
      <c r="A2231" s="3" t="s">
        <v>1612</v>
      </c>
      <c r="B2231" s="3" t="s">
        <v>2394</v>
      </c>
      <c r="C2231" s="3" t="s">
        <v>2396</v>
      </c>
      <c r="D2231" s="4" t="str">
        <f>HYPERLINK("https://12go.asia/en/travel/ningbo/jieshoushi", "12Go Link")</f>
        <v>12Go Link</v>
      </c>
      <c r="E2231" s="3" t="s">
        <v>94</v>
      </c>
      <c r="K2231" s="5"/>
    </row>
    <row r="2232">
      <c r="A2232" s="3" t="s">
        <v>1612</v>
      </c>
      <c r="B2232" s="3" t="s">
        <v>546</v>
      </c>
      <c r="C2232" s="3" t="s">
        <v>2397</v>
      </c>
      <c r="D2232" s="4" t="str">
        <f>HYPERLINK("https://12go.asia/en/travel/ningbo/nanyang", "12Go Link")</f>
        <v>12Go Link</v>
      </c>
      <c r="E2232" s="3" t="s">
        <v>94</v>
      </c>
      <c r="K2232" s="5"/>
    </row>
    <row r="2233">
      <c r="A2233" s="3" t="s">
        <v>1612</v>
      </c>
      <c r="B2233" s="3" t="s">
        <v>2398</v>
      </c>
      <c r="C2233" s="3" t="s">
        <v>2399</v>
      </c>
      <c r="D2233" s="4" t="str">
        <f>HYPERLINK("https://12go.asia/en/travel/ningbo/shenqiu", "12Go Link")</f>
        <v>12Go Link</v>
      </c>
      <c r="E2233" s="3" t="s">
        <v>94</v>
      </c>
      <c r="K2233" s="5"/>
    </row>
    <row r="2234">
      <c r="A2234" s="3" t="s">
        <v>1612</v>
      </c>
      <c r="B2234" s="3" t="s">
        <v>1202</v>
      </c>
      <c r="C2234" s="3" t="s">
        <v>2400</v>
      </c>
      <c r="D2234" s="4" t="str">
        <f>HYPERLINK("https://12go.asia/en/travel/ningbo/yichun-jiangxi", "12Go Link")</f>
        <v>12Go Link</v>
      </c>
      <c r="E2234" s="3" t="s">
        <v>94</v>
      </c>
      <c r="K2234" s="5"/>
    </row>
    <row r="2235">
      <c r="A2235" s="3" t="s">
        <v>1612</v>
      </c>
      <c r="B2235" s="3" t="s">
        <v>1021</v>
      </c>
      <c r="C2235" s="3" t="s">
        <v>2401</v>
      </c>
      <c r="D2235" s="4" t="str">
        <f>HYPERLINK("https://12go.asia/en/travel/ningbo/cangnan", "12Go Link")</f>
        <v>12Go Link</v>
      </c>
      <c r="E2235" s="3" t="s">
        <v>94</v>
      </c>
      <c r="K2235" s="5"/>
    </row>
    <row r="2236">
      <c r="A2236" s="3" t="s">
        <v>2402</v>
      </c>
      <c r="B2236" s="3" t="s">
        <v>512</v>
      </c>
      <c r="C2236" s="3" t="s">
        <v>2403</v>
      </c>
      <c r="D2236" s="4" t="str">
        <f>HYPERLINK("https://12go.asia/en/travel/ningde/shanghai-hongqiao", "12Go Link")</f>
        <v>12Go Link</v>
      </c>
      <c r="E2236" s="3" t="s">
        <v>94</v>
      </c>
      <c r="K2236" s="5"/>
    </row>
    <row r="2237">
      <c r="A2237" s="3" t="s">
        <v>983</v>
      </c>
      <c r="B2237" s="3" t="s">
        <v>591</v>
      </c>
      <c r="C2237" s="3" t="s">
        <v>2404</v>
      </c>
      <c r="D2237" s="4" t="str">
        <f>HYPERLINK("https://12go.asia/en/travel/ordos-city/yanan", "12Go Link")</f>
        <v>12Go Link</v>
      </c>
      <c r="E2237" s="3" t="s">
        <v>94</v>
      </c>
      <c r="K2237" s="5"/>
    </row>
    <row r="2238">
      <c r="A2238" s="3" t="s">
        <v>983</v>
      </c>
      <c r="B2238" s="3" t="s">
        <v>591</v>
      </c>
      <c r="C2238" s="3" t="s">
        <v>2405</v>
      </c>
      <c r="D2238" s="4" t="str">
        <f>HYPERLINK("https://12go.asia/en/travel/ordos/yanan", "12Go Link")</f>
        <v>12Go Link</v>
      </c>
      <c r="E2238" s="3" t="s">
        <v>94</v>
      </c>
      <c r="K2238" s="5"/>
    </row>
    <row r="2239">
      <c r="A2239" s="3" t="s">
        <v>2122</v>
      </c>
      <c r="B2239" s="3" t="s">
        <v>2406</v>
      </c>
      <c r="C2239" s="3" t="s">
        <v>2407</v>
      </c>
      <c r="D2239" s="4" t="str">
        <f>HYPERLINK("https://12go.asia/en/travel/panjin/benxi", "12Go Link")</f>
        <v>12Go Link</v>
      </c>
      <c r="E2239" s="3" t="s">
        <v>94</v>
      </c>
      <c r="K2239" s="5"/>
    </row>
    <row r="2240">
      <c r="A2240" s="3" t="s">
        <v>2122</v>
      </c>
      <c r="B2240" s="3" t="s">
        <v>1761</v>
      </c>
      <c r="C2240" s="3" t="s">
        <v>2408</v>
      </c>
      <c r="D2240" s="4" t="str">
        <f>HYPERLINK("https://12go.asia/en/travel/panjin/dalian", "12Go Link")</f>
        <v>12Go Link</v>
      </c>
      <c r="E2240" s="3" t="s">
        <v>94</v>
      </c>
      <c r="K2240" s="5"/>
    </row>
    <row r="2241">
      <c r="A2241" s="3" t="s">
        <v>2122</v>
      </c>
      <c r="B2241" s="3" t="s">
        <v>1761</v>
      </c>
      <c r="C2241" s="3" t="s">
        <v>2409</v>
      </c>
      <c r="D2241" s="4" t="str">
        <f>HYPERLINK("https://12go.asia/en/travel/panjin/dalian-north", "12Go Link")</f>
        <v>12Go Link</v>
      </c>
      <c r="E2241" s="3" t="s">
        <v>94</v>
      </c>
      <c r="K2241" s="5"/>
    </row>
    <row r="2242">
      <c r="A2242" s="3" t="s">
        <v>2122</v>
      </c>
      <c r="B2242" s="3" t="s">
        <v>1761</v>
      </c>
      <c r="C2242" s="3" t="s">
        <v>2410</v>
      </c>
      <c r="D2242" s="4" t="str">
        <f>HYPERLINK("https://12go.asia/en/travel/panjin/jinpu", "12Go Link")</f>
        <v>12Go Link</v>
      </c>
      <c r="E2242" s="3" t="s">
        <v>94</v>
      </c>
      <c r="K2242" s="5"/>
    </row>
    <row r="2243">
      <c r="A2243" s="3" t="s">
        <v>2122</v>
      </c>
      <c r="B2243" s="3" t="s">
        <v>1364</v>
      </c>
      <c r="C2243" s="3" t="s">
        <v>2411</v>
      </c>
      <c r="D2243" s="4" t="str">
        <f>HYPERLINK("https://12go.asia/en/travel/panjin/guangdong", "12Go Link")</f>
        <v>12Go Link</v>
      </c>
      <c r="E2243" s="3" t="s">
        <v>94</v>
      </c>
      <c r="K2243" s="5"/>
    </row>
    <row r="2244">
      <c r="A2244" s="3" t="s">
        <v>2122</v>
      </c>
      <c r="B2244" s="3" t="s">
        <v>1366</v>
      </c>
      <c r="C2244" s="3" t="s">
        <v>2412</v>
      </c>
      <c r="D2244" s="4" t="str">
        <f>HYPERLINK("https://12go.asia/en/travel/panjin/guangzhou", "12Go Link")</f>
        <v>12Go Link</v>
      </c>
      <c r="E2244" s="3" t="s">
        <v>94</v>
      </c>
      <c r="K2244" s="5"/>
    </row>
    <row r="2245">
      <c r="A2245" s="3" t="s">
        <v>1614</v>
      </c>
      <c r="B2245" s="3" t="s">
        <v>1633</v>
      </c>
      <c r="C2245" s="3" t="s">
        <v>2413</v>
      </c>
      <c r="D2245" s="4" t="str">
        <f>HYPERLINK("https://12go.asia/en/travel/pingliang/weinan", "12Go Link")</f>
        <v>12Go Link</v>
      </c>
      <c r="E2245" s="3" t="s">
        <v>94</v>
      </c>
      <c r="K2245" s="5"/>
    </row>
    <row r="2246">
      <c r="A2246" s="3" t="s">
        <v>1614</v>
      </c>
      <c r="B2246" s="3" t="s">
        <v>1633</v>
      </c>
      <c r="C2246" s="3" t="s">
        <v>2414</v>
      </c>
      <c r="D2246" s="4" t="str">
        <f>HYPERLINK("https://12go.asia/en/travel/pingliang/weinan-west", "12Go Link")</f>
        <v>12Go Link</v>
      </c>
      <c r="E2246" s="3" t="s">
        <v>94</v>
      </c>
      <c r="K2246" s="5"/>
    </row>
    <row r="2247">
      <c r="A2247" s="3" t="s">
        <v>1840</v>
      </c>
      <c r="B2247" s="3" t="s">
        <v>542</v>
      </c>
      <c r="C2247" s="3" t="s">
        <v>2415</v>
      </c>
      <c r="D2247" s="4" t="str">
        <f>HYPERLINK("https://12go.asia/en/travel/pingshan-shenzhen/jiaocheng", "12Go Link")</f>
        <v>12Go Link</v>
      </c>
      <c r="E2247" s="3" t="s">
        <v>94</v>
      </c>
      <c r="K2247" s="5"/>
    </row>
    <row r="2248">
      <c r="A2248" s="3" t="s">
        <v>2416</v>
      </c>
      <c r="B2248" s="3" t="s">
        <v>1033</v>
      </c>
      <c r="C2248" s="3" t="s">
        <v>2417</v>
      </c>
      <c r="D2248" s="4" t="str">
        <f>HYPERLINK("https://12go.asia/en/travel/pingxiang/henan", "12Go Link")</f>
        <v>12Go Link</v>
      </c>
      <c r="E2248" s="3" t="s">
        <v>94</v>
      </c>
      <c r="K2248" s="5"/>
    </row>
    <row r="2249">
      <c r="A2249" s="3" t="s">
        <v>2416</v>
      </c>
      <c r="B2249" s="3" t="s">
        <v>540</v>
      </c>
      <c r="C2249" s="3" t="s">
        <v>2418</v>
      </c>
      <c r="D2249" s="4" t="str">
        <f>HYPERLINK("https://12go.asia/en/travel/pingxiang/jiangzhou", "12Go Link")</f>
        <v>12Go Link</v>
      </c>
      <c r="E2249" s="3" t="s">
        <v>94</v>
      </c>
      <c r="K2249" s="5"/>
    </row>
    <row r="2250">
      <c r="A2250" s="3" t="s">
        <v>2416</v>
      </c>
      <c r="B2250" s="3" t="s">
        <v>2307</v>
      </c>
      <c r="C2250" s="3" t="s">
        <v>2419</v>
      </c>
      <c r="D2250" s="4" t="str">
        <f>HYPERLINK("https://12go.asia/en/travel/pingxiang-north/jianxi", "12Go Link")</f>
        <v>12Go Link</v>
      </c>
      <c r="E2250" s="3" t="s">
        <v>94</v>
      </c>
      <c r="K2250" s="5"/>
    </row>
    <row r="2251">
      <c r="A2251" s="3" t="s">
        <v>2416</v>
      </c>
      <c r="B2251" s="3" t="s">
        <v>2307</v>
      </c>
      <c r="C2251" s="3" t="s">
        <v>2420</v>
      </c>
      <c r="D2251" s="4" t="str">
        <f>HYPERLINK("https://12go.asia/en/travel/pingxiang/shunchang", "12Go Link")</f>
        <v>12Go Link</v>
      </c>
      <c r="E2251" s="3" t="s">
        <v>94</v>
      </c>
      <c r="K2251" s="5"/>
    </row>
    <row r="2252">
      <c r="A2252" s="3" t="s">
        <v>2416</v>
      </c>
      <c r="B2252" s="3" t="s">
        <v>1403</v>
      </c>
      <c r="C2252" s="3" t="s">
        <v>2421</v>
      </c>
      <c r="D2252" s="4" t="str">
        <f>HYPERLINK("https://12go.asia/en/travel/pingxiang-north/xiamen", "12Go Link")</f>
        <v>12Go Link</v>
      </c>
      <c r="E2252" s="3" t="s">
        <v>94</v>
      </c>
      <c r="K2252" s="5"/>
    </row>
    <row r="2253">
      <c r="A2253" s="3" t="s">
        <v>2416</v>
      </c>
      <c r="B2253" s="3" t="s">
        <v>1403</v>
      </c>
      <c r="C2253" s="3" t="s">
        <v>2422</v>
      </c>
      <c r="D2253" s="4" t="str">
        <f>HYPERLINK("https://12go.asia/en/travel/pingxiang-north/xiamen-north", "12Go Link")</f>
        <v>12Go Link</v>
      </c>
      <c r="E2253" s="3" t="s">
        <v>94</v>
      </c>
      <c r="K2253" s="5"/>
    </row>
    <row r="2254">
      <c r="A2254" s="3" t="s">
        <v>2416</v>
      </c>
      <c r="B2254" s="3" t="s">
        <v>1403</v>
      </c>
      <c r="C2254" s="3" t="s">
        <v>2423</v>
      </c>
      <c r="D2254" s="4" t="str">
        <f>HYPERLINK("https://12go.asia/en/travel/pingxiang/xiamen", "12Go Link")</f>
        <v>12Go Link</v>
      </c>
      <c r="E2254" s="3" t="s">
        <v>94</v>
      </c>
      <c r="K2254" s="5"/>
    </row>
    <row r="2255">
      <c r="A2255" s="3" t="s">
        <v>2416</v>
      </c>
      <c r="B2255" s="3" t="s">
        <v>1403</v>
      </c>
      <c r="C2255" s="3" t="s">
        <v>2424</v>
      </c>
      <c r="D2255" s="4" t="str">
        <f>HYPERLINK("https://12go.asia/en/travel/pingxiang/xiamen-north", "12Go Link")</f>
        <v>12Go Link</v>
      </c>
      <c r="E2255" s="3" t="s">
        <v>94</v>
      </c>
      <c r="K2255" s="5"/>
    </row>
    <row r="2256">
      <c r="A2256" s="3" t="s">
        <v>2416</v>
      </c>
      <c r="B2256" s="3" t="s">
        <v>585</v>
      </c>
      <c r="C2256" s="3" t="s">
        <v>2425</v>
      </c>
      <c r="D2256" s="4" t="str">
        <f>HYPERLINK("https://12go.asia/en/travel/pingxiang/zhengzhou", "12Go Link")</f>
        <v>12Go Link</v>
      </c>
      <c r="E2256" s="3" t="s">
        <v>94</v>
      </c>
      <c r="K2256" s="5"/>
    </row>
    <row r="2257">
      <c r="A2257" s="3" t="s">
        <v>986</v>
      </c>
      <c r="B2257" s="3" t="s">
        <v>2426</v>
      </c>
      <c r="C2257" s="3" t="s">
        <v>2427</v>
      </c>
      <c r="D2257" s="4" t="str">
        <f>HYPERLINK("https://12go.asia/en/travel/pingyao/fengzhen", "12Go Link")</f>
        <v>12Go Link</v>
      </c>
      <c r="E2257" s="3" t="s">
        <v>94</v>
      </c>
      <c r="K2257" s="5"/>
    </row>
    <row r="2258">
      <c r="A2258" s="3" t="s">
        <v>986</v>
      </c>
      <c r="B2258" s="3" t="s">
        <v>1209</v>
      </c>
      <c r="C2258" s="3" t="s">
        <v>2428</v>
      </c>
      <c r="D2258" s="4" t="str">
        <f>HYPERLINK("https://12go.asia/en/travel/pingyao-ancient-city/guangyuan", "12Go Link")</f>
        <v>12Go Link</v>
      </c>
      <c r="E2258" s="3" t="s">
        <v>94</v>
      </c>
      <c r="K2258" s="5"/>
    </row>
    <row r="2259">
      <c r="A2259" s="3" t="s">
        <v>986</v>
      </c>
      <c r="B2259" s="3" t="s">
        <v>1209</v>
      </c>
      <c r="C2259" s="3" t="s">
        <v>2429</v>
      </c>
      <c r="D2259" s="4" t="str">
        <f>HYPERLINK("https://12go.asia/en/travel/pingyao/guangyuan", "12Go Link")</f>
        <v>12Go Link</v>
      </c>
      <c r="E2259" s="3" t="s">
        <v>94</v>
      </c>
      <c r="K2259" s="5"/>
    </row>
    <row r="2260">
      <c r="A2260" s="3" t="s">
        <v>986</v>
      </c>
      <c r="B2260" s="3" t="s">
        <v>732</v>
      </c>
      <c r="C2260" s="3" t="s">
        <v>2430</v>
      </c>
      <c r="D2260" s="4" t="str">
        <f>HYPERLINK("https://12go.asia/en/travel/pingyao/tangshan", "12Go Link")</f>
        <v>12Go Link</v>
      </c>
      <c r="E2260" s="3" t="s">
        <v>94</v>
      </c>
      <c r="K2260" s="5"/>
    </row>
    <row r="2261">
      <c r="A2261" s="3" t="s">
        <v>986</v>
      </c>
      <c r="B2261" s="3" t="s">
        <v>1633</v>
      </c>
      <c r="C2261" s="3" t="s">
        <v>2431</v>
      </c>
      <c r="D2261" s="4" t="str">
        <f>HYPERLINK("https://12go.asia/en/travel/pingyao-ancient-city/weinan-north", "12Go Link")</f>
        <v>12Go Link</v>
      </c>
      <c r="E2261" s="3" t="s">
        <v>94</v>
      </c>
      <c r="K2261" s="5"/>
    </row>
    <row r="2262">
      <c r="A2262" s="3" t="s">
        <v>986</v>
      </c>
      <c r="B2262" s="3" t="s">
        <v>1633</v>
      </c>
      <c r="C2262" s="3" t="s">
        <v>2432</v>
      </c>
      <c r="D2262" s="4" t="str">
        <f>HYPERLINK("https://12go.asia/en/travel/pingyao/weinan", "12Go Link")</f>
        <v>12Go Link</v>
      </c>
      <c r="E2262" s="3" t="s">
        <v>94</v>
      </c>
      <c r="K2262" s="5"/>
    </row>
    <row r="2263">
      <c r="A2263" s="3" t="s">
        <v>986</v>
      </c>
      <c r="B2263" s="3" t="s">
        <v>897</v>
      </c>
      <c r="C2263" s="3" t="s">
        <v>2433</v>
      </c>
      <c r="D2263" s="4" t="str">
        <f>HYPERLINK("https://12go.asia/en/travel/pingyao-ancient-city/yantai-south", "12Go Link")</f>
        <v>12Go Link</v>
      </c>
      <c r="E2263" s="3" t="s">
        <v>94</v>
      </c>
      <c r="K2263" s="5"/>
    </row>
    <row r="2264">
      <c r="A2264" s="3" t="s">
        <v>986</v>
      </c>
      <c r="B2264" s="3" t="s">
        <v>897</v>
      </c>
      <c r="C2264" s="3" t="s">
        <v>2434</v>
      </c>
      <c r="D2264" s="4" t="str">
        <f>HYPERLINK("https://12go.asia/en/travel/pingyao/yantai", "12Go Link")</f>
        <v>12Go Link</v>
      </c>
      <c r="E2264" s="3" t="s">
        <v>94</v>
      </c>
      <c r="K2264" s="5"/>
    </row>
    <row r="2265">
      <c r="A2265" s="3" t="s">
        <v>1467</v>
      </c>
      <c r="B2265" s="3" t="s">
        <v>1079</v>
      </c>
      <c r="C2265" s="3" t="s">
        <v>2435</v>
      </c>
      <c r="D2265" s="4" t="str">
        <f>HYPERLINK("https://12go.asia/en/travel/qingdao-north/huaibei", "12Go Link")</f>
        <v>12Go Link</v>
      </c>
      <c r="E2265" s="3" t="s">
        <v>94</v>
      </c>
      <c r="K2265" s="5"/>
    </row>
    <row r="2266">
      <c r="A2266" s="3" t="s">
        <v>1467</v>
      </c>
      <c r="B2266" s="3" t="s">
        <v>822</v>
      </c>
      <c r="C2266" s="3" t="s">
        <v>2436</v>
      </c>
      <c r="D2266" s="4" t="str">
        <f>HYPERLINK("https://12go.asia/en/travel/qingdao-north/cangzhou-west", "12Go Link")</f>
        <v>12Go Link</v>
      </c>
      <c r="E2266" s="3" t="s">
        <v>94</v>
      </c>
      <c r="K2266" s="5"/>
    </row>
    <row r="2267">
      <c r="A2267" s="3" t="s">
        <v>1467</v>
      </c>
      <c r="B2267" s="3" t="s">
        <v>822</v>
      </c>
      <c r="C2267" s="3" t="s">
        <v>2437</v>
      </c>
      <c r="D2267" s="4" t="str">
        <f>HYPERLINK("https://12go.asia/en/travel/qingdao/cangzhou", "12Go Link")</f>
        <v>12Go Link</v>
      </c>
      <c r="E2267" s="3" t="s">
        <v>94</v>
      </c>
      <c r="K2267" s="5"/>
    </row>
    <row r="2268">
      <c r="A2268" s="3" t="s">
        <v>1467</v>
      </c>
      <c r="B2268" s="3" t="s">
        <v>822</v>
      </c>
      <c r="C2268" s="3" t="s">
        <v>2438</v>
      </c>
      <c r="D2268" s="4" t="str">
        <f>HYPERLINK("https://12go.asia/en/travel/qingdao/cangzhou-west", "12Go Link")</f>
        <v>12Go Link</v>
      </c>
      <c r="E2268" s="3" t="s">
        <v>94</v>
      </c>
      <c r="K2268" s="5"/>
    </row>
    <row r="2269">
      <c r="A2269" s="3" t="s">
        <v>1467</v>
      </c>
      <c r="B2269" s="3" t="s">
        <v>758</v>
      </c>
      <c r="C2269" s="3" t="s">
        <v>2439</v>
      </c>
      <c r="D2269" s="4" t="str">
        <f>HYPERLINK("https://12go.asia/en/travel/qingdao-west/heze", "12Go Link")</f>
        <v>12Go Link</v>
      </c>
      <c r="E2269" s="3" t="s">
        <v>94</v>
      </c>
      <c r="K2269" s="5"/>
    </row>
    <row r="2270">
      <c r="A2270" s="3" t="s">
        <v>1467</v>
      </c>
      <c r="B2270" s="3" t="s">
        <v>758</v>
      </c>
      <c r="C2270" s="3" t="s">
        <v>2440</v>
      </c>
      <c r="D2270" s="4" t="str">
        <f>HYPERLINK("https://12go.asia/en/travel/qingdao-west/heze-east-railway-station", "12Go Link")</f>
        <v>12Go Link</v>
      </c>
      <c r="E2270" s="3" t="s">
        <v>94</v>
      </c>
      <c r="K2270" s="5"/>
    </row>
    <row r="2271">
      <c r="A2271" s="3" t="s">
        <v>1467</v>
      </c>
      <c r="B2271" s="3" t="s">
        <v>579</v>
      </c>
      <c r="C2271" s="3" t="s">
        <v>2441</v>
      </c>
      <c r="D2271" s="4" t="str">
        <f>HYPERLINK("https://12go.asia/en/travel/qingdao-north/zaozhuang-east", "12Go Link")</f>
        <v>12Go Link</v>
      </c>
      <c r="E2271" s="3" t="s">
        <v>94</v>
      </c>
      <c r="K2271" s="5"/>
    </row>
    <row r="2272">
      <c r="A2272" s="3" t="s">
        <v>2302</v>
      </c>
      <c r="B2272" s="3" t="s">
        <v>1081</v>
      </c>
      <c r="C2272" s="3" t="s">
        <v>2442</v>
      </c>
      <c r="D2272" s="4" t="str">
        <f>HYPERLINK("https://12go.asia/en/travel/qujing-north/hefei-south", "12Go Link")</f>
        <v>12Go Link</v>
      </c>
      <c r="E2272" s="3" t="s">
        <v>94</v>
      </c>
      <c r="K2272" s="5"/>
    </row>
    <row r="2273">
      <c r="A2273" s="3" t="s">
        <v>2302</v>
      </c>
      <c r="B2273" s="3" t="s">
        <v>1081</v>
      </c>
      <c r="C2273" s="3" t="s">
        <v>2443</v>
      </c>
      <c r="D2273" s="4" t="str">
        <f>HYPERLINK("https://12go.asia/en/travel/qujing/hefei", "12Go Link")</f>
        <v>12Go Link</v>
      </c>
      <c r="E2273" s="3" t="s">
        <v>94</v>
      </c>
      <c r="K2273" s="5"/>
    </row>
    <row r="2274">
      <c r="A2274" s="3" t="s">
        <v>2302</v>
      </c>
      <c r="B2274" s="3" t="s">
        <v>1220</v>
      </c>
      <c r="C2274" s="3" t="s">
        <v>2444</v>
      </c>
      <c r="D2274" s="4" t="str">
        <f>HYPERLINK("https://12go.asia/en/travel/qujing-north/quanzhou-east", "12Go Link")</f>
        <v>12Go Link</v>
      </c>
      <c r="E2274" s="3" t="s">
        <v>94</v>
      </c>
      <c r="K2274" s="5"/>
    </row>
    <row r="2275">
      <c r="A2275" s="3" t="s">
        <v>2302</v>
      </c>
      <c r="B2275" s="3" t="s">
        <v>1220</v>
      </c>
      <c r="C2275" s="3" t="s">
        <v>2445</v>
      </c>
      <c r="D2275" s="4" t="str">
        <f>HYPERLINK("https://12go.asia/en/travel/qujing/quanzhou", "12Go Link")</f>
        <v>12Go Link</v>
      </c>
      <c r="E2275" s="3" t="s">
        <v>94</v>
      </c>
      <c r="K2275" s="5"/>
    </row>
    <row r="2276">
      <c r="A2276" s="3" t="s">
        <v>1249</v>
      </c>
      <c r="B2276" s="3" t="s">
        <v>1079</v>
      </c>
      <c r="C2276" s="3" t="s">
        <v>2446</v>
      </c>
      <c r="D2276" s="4" t="str">
        <f>HYPERLINK("https://12go.asia/en/travel/rizhao/anhui", "12Go Link")</f>
        <v>12Go Link</v>
      </c>
      <c r="E2276" s="3" t="s">
        <v>94</v>
      </c>
      <c r="K2276" s="5"/>
    </row>
    <row r="2277">
      <c r="A2277" s="3" t="s">
        <v>1249</v>
      </c>
      <c r="B2277" s="3" t="s">
        <v>745</v>
      </c>
      <c r="C2277" s="3" t="s">
        <v>2447</v>
      </c>
      <c r="D2277" s="4" t="str">
        <f>HYPERLINK("https://12go.asia/en/travel/rizhao-west/changsha-south", "12Go Link")</f>
        <v>12Go Link</v>
      </c>
      <c r="E2277" s="3" t="s">
        <v>94</v>
      </c>
      <c r="K2277" s="5"/>
    </row>
    <row r="2278">
      <c r="A2278" s="3" t="s">
        <v>1249</v>
      </c>
      <c r="B2278" s="3" t="s">
        <v>745</v>
      </c>
      <c r="C2278" s="3" t="s">
        <v>2448</v>
      </c>
      <c r="D2278" s="4" t="str">
        <f>HYPERLINK("https://12go.asia/en/travel/rizhao/changsha", "12Go Link")</f>
        <v>12Go Link</v>
      </c>
      <c r="E2278" s="3" t="s">
        <v>94</v>
      </c>
      <c r="K2278" s="5"/>
    </row>
    <row r="2279">
      <c r="A2279" s="3" t="s">
        <v>1249</v>
      </c>
      <c r="B2279" s="3" t="s">
        <v>1226</v>
      </c>
      <c r="C2279" s="3" t="s">
        <v>2449</v>
      </c>
      <c r="D2279" s="4" t="str">
        <f>HYPERLINK("https://12go.asia/en/travel/rizhao-west/chengyang", "12Go Link")</f>
        <v>12Go Link</v>
      </c>
      <c r="E2279" s="3" t="s">
        <v>94</v>
      </c>
      <c r="K2279" s="5"/>
    </row>
    <row r="2280">
      <c r="A2280" s="3" t="s">
        <v>1249</v>
      </c>
      <c r="B2280" s="3" t="s">
        <v>1226</v>
      </c>
      <c r="C2280" s="3" t="s">
        <v>2450</v>
      </c>
      <c r="D2280" s="4" t="str">
        <f>HYPERLINK("https://12go.asia/en/travel/rizhao/chengyang", "12Go Link")</f>
        <v>12Go Link</v>
      </c>
      <c r="E2280" s="3" t="s">
        <v>94</v>
      </c>
      <c r="K2280" s="5"/>
    </row>
    <row r="2281">
      <c r="A2281" s="3" t="s">
        <v>1249</v>
      </c>
      <c r="B2281" s="3" t="s">
        <v>1713</v>
      </c>
      <c r="C2281" s="3" t="s">
        <v>2451</v>
      </c>
      <c r="D2281" s="4" t="str">
        <f>HYPERLINK("https://12go.asia/en/travel/rizhao-west/guiyang-north", "12Go Link")</f>
        <v>12Go Link</v>
      </c>
      <c r="E2281" s="3" t="s">
        <v>94</v>
      </c>
      <c r="K2281" s="5"/>
    </row>
    <row r="2282">
      <c r="A2282" s="3" t="s">
        <v>1249</v>
      </c>
      <c r="B2282" s="3" t="s">
        <v>1713</v>
      </c>
      <c r="C2282" s="3" t="s">
        <v>2452</v>
      </c>
      <c r="D2282" s="4" t="str">
        <f>HYPERLINK("https://12go.asia/en/travel/rizhao/guiyang", "12Go Link")</f>
        <v>12Go Link</v>
      </c>
      <c r="E2282" s="3" t="s">
        <v>94</v>
      </c>
      <c r="K2282" s="5"/>
    </row>
    <row r="2283">
      <c r="A2283" s="3" t="s">
        <v>1249</v>
      </c>
      <c r="B2283" s="3" t="s">
        <v>522</v>
      </c>
      <c r="C2283" s="3" t="s">
        <v>2453</v>
      </c>
      <c r="D2283" s="4" t="str">
        <f>HYPERLINK("https://12go.asia/en/travel/rizhao/guizhou", "12Go Link")</f>
        <v>12Go Link</v>
      </c>
      <c r="E2283" s="3" t="s">
        <v>94</v>
      </c>
      <c r="K2283" s="5"/>
    </row>
    <row r="2284">
      <c r="A2284" s="3" t="s">
        <v>1249</v>
      </c>
      <c r="B2284" s="3" t="s">
        <v>524</v>
      </c>
      <c r="C2284" s="3" t="s">
        <v>2454</v>
      </c>
      <c r="D2284" s="4" t="str">
        <f>HYPERLINK("https://12go.asia/en/travel/rizhao/guzhang", "12Go Link")</f>
        <v>12Go Link</v>
      </c>
      <c r="E2284" s="3" t="s">
        <v>94</v>
      </c>
      <c r="K2284" s="5"/>
    </row>
    <row r="2285">
      <c r="A2285" s="3" t="s">
        <v>1249</v>
      </c>
      <c r="B2285" s="3" t="s">
        <v>1033</v>
      </c>
      <c r="C2285" s="3" t="s">
        <v>2455</v>
      </c>
      <c r="D2285" s="4" t="str">
        <f>HYPERLINK("https://12go.asia/en/travel/rizhao/henan", "12Go Link")</f>
        <v>12Go Link</v>
      </c>
      <c r="E2285" s="3" t="s">
        <v>94</v>
      </c>
      <c r="K2285" s="5"/>
    </row>
    <row r="2286">
      <c r="A2286" s="3" t="s">
        <v>1249</v>
      </c>
      <c r="B2286" s="3" t="s">
        <v>622</v>
      </c>
      <c r="C2286" s="3" t="s">
        <v>2456</v>
      </c>
      <c r="D2286" s="4" t="str">
        <f>HYPERLINK("https://12go.asia/en/travel/rizhao/heshan", "12Go Link")</f>
        <v>12Go Link</v>
      </c>
      <c r="E2286" s="3" t="s">
        <v>94</v>
      </c>
      <c r="K2286" s="5"/>
    </row>
    <row r="2287">
      <c r="A2287" s="3" t="s">
        <v>1249</v>
      </c>
      <c r="B2287" s="3" t="s">
        <v>536</v>
      </c>
      <c r="C2287" s="3" t="s">
        <v>2457</v>
      </c>
      <c r="D2287" s="4" t="str">
        <f>HYPERLINK("https://12go.asia/en/travel/rizhao/hunan", "12Go Link")</f>
        <v>12Go Link</v>
      </c>
      <c r="E2287" s="3" t="s">
        <v>94</v>
      </c>
      <c r="K2287" s="5"/>
    </row>
    <row r="2288">
      <c r="A2288" s="3" t="s">
        <v>1249</v>
      </c>
      <c r="B2288" s="3" t="s">
        <v>643</v>
      </c>
      <c r="C2288" s="3" t="s">
        <v>2458</v>
      </c>
      <c r="D2288" s="4" t="str">
        <f>HYPERLINK("https://12go.asia/en/travel/rizhao/jiangning", "12Go Link")</f>
        <v>12Go Link</v>
      </c>
      <c r="E2288" s="3" t="s">
        <v>94</v>
      </c>
      <c r="K2288" s="5"/>
    </row>
    <row r="2289">
      <c r="A2289" s="3" t="s">
        <v>1249</v>
      </c>
      <c r="B2289" s="3" t="s">
        <v>542</v>
      </c>
      <c r="C2289" s="3" t="s">
        <v>2459</v>
      </c>
      <c r="D2289" s="4" t="str">
        <f>HYPERLINK("https://12go.asia/en/travel/rizhao/jiaocheng", "12Go Link")</f>
        <v>12Go Link</v>
      </c>
      <c r="E2289" s="3" t="s">
        <v>94</v>
      </c>
      <c r="K2289" s="5"/>
    </row>
    <row r="2290">
      <c r="A2290" s="3" t="s">
        <v>1249</v>
      </c>
      <c r="B2290" s="3" t="s">
        <v>588</v>
      </c>
      <c r="C2290" s="3" t="s">
        <v>2460</v>
      </c>
      <c r="D2290" s="4" t="str">
        <f>HYPERLINK("https://12go.asia/en/travel/rizhao-west/kaifeng-north", "12Go Link")</f>
        <v>12Go Link</v>
      </c>
      <c r="E2290" s="3" t="s">
        <v>94</v>
      </c>
      <c r="K2290" s="5"/>
    </row>
    <row r="2291">
      <c r="A2291" s="3" t="s">
        <v>1249</v>
      </c>
      <c r="B2291" s="3" t="s">
        <v>588</v>
      </c>
      <c r="C2291" s="3" t="s">
        <v>2461</v>
      </c>
      <c r="D2291" s="4" t="str">
        <f>HYPERLINK("https://12go.asia/en/travel/rizhao/kaifeng", "12Go Link")</f>
        <v>12Go Link</v>
      </c>
      <c r="E2291" s="3" t="s">
        <v>94</v>
      </c>
      <c r="K2291" s="5"/>
    </row>
    <row r="2292">
      <c r="A2292" s="3" t="s">
        <v>1249</v>
      </c>
      <c r="B2292" s="3" t="s">
        <v>1105</v>
      </c>
      <c r="C2292" s="3" t="s">
        <v>2462</v>
      </c>
      <c r="D2292" s="4" t="str">
        <f>HYPERLINK("https://12go.asia/en/travel/rizhao/liaoning", "12Go Link")</f>
        <v>12Go Link</v>
      </c>
      <c r="E2292" s="3" t="s">
        <v>94</v>
      </c>
      <c r="K2292" s="5"/>
    </row>
    <row r="2293">
      <c r="A2293" s="3" t="s">
        <v>1249</v>
      </c>
      <c r="B2293" s="3" t="s">
        <v>2186</v>
      </c>
      <c r="C2293" s="3" t="s">
        <v>2463</v>
      </c>
      <c r="D2293" s="4" t="str">
        <f>HYPERLINK("https://12go.asia/en/travel/rizhao-west/linyi-north", "12Go Link")</f>
        <v>12Go Link</v>
      </c>
      <c r="E2293" s="3" t="s">
        <v>94</v>
      </c>
      <c r="K2293" s="5"/>
    </row>
    <row r="2294">
      <c r="A2294" s="3" t="s">
        <v>1249</v>
      </c>
      <c r="B2294" s="3" t="s">
        <v>550</v>
      </c>
      <c r="C2294" s="3" t="s">
        <v>2464</v>
      </c>
      <c r="D2294" s="4" t="str">
        <f>HYPERLINK("https://12go.asia/en/travel/rizhao/saihan", "12Go Link")</f>
        <v>12Go Link</v>
      </c>
      <c r="E2294" s="3" t="s">
        <v>94</v>
      </c>
      <c r="K2294" s="5"/>
    </row>
    <row r="2295">
      <c r="A2295" s="3" t="s">
        <v>1249</v>
      </c>
      <c r="B2295" s="3" t="s">
        <v>554</v>
      </c>
      <c r="C2295" s="3" t="s">
        <v>2465</v>
      </c>
      <c r="D2295" s="4" t="str">
        <f>HYPERLINK("https://12go.asia/en/travel/rizhao-west/shenyang", "12Go Link")</f>
        <v>12Go Link</v>
      </c>
      <c r="E2295" s="3" t="s">
        <v>94</v>
      </c>
      <c r="K2295" s="5"/>
    </row>
    <row r="2296">
      <c r="A2296" s="3" t="s">
        <v>1249</v>
      </c>
      <c r="B2296" s="3" t="s">
        <v>554</v>
      </c>
      <c r="C2296" s="3" t="s">
        <v>2466</v>
      </c>
      <c r="D2296" s="4" t="str">
        <f>HYPERLINK("https://12go.asia/en/travel/rizhao/shenyang", "12Go Link")</f>
        <v>12Go Link</v>
      </c>
      <c r="E2296" s="3" t="s">
        <v>94</v>
      </c>
      <c r="K2296" s="5"/>
    </row>
    <row r="2297">
      <c r="A2297" s="3" t="s">
        <v>1249</v>
      </c>
      <c r="B2297" s="3" t="s">
        <v>698</v>
      </c>
      <c r="C2297" s="3" t="s">
        <v>2467</v>
      </c>
      <c r="D2297" s="4" t="str">
        <f>HYPERLINK("https://12go.asia/en/travel/rizhao/sihui", "12Go Link")</f>
        <v>12Go Link</v>
      </c>
      <c r="E2297" s="3" t="s">
        <v>94</v>
      </c>
      <c r="K2297" s="5"/>
    </row>
    <row r="2298">
      <c r="A2298" s="3" t="s">
        <v>1249</v>
      </c>
      <c r="B2298" s="3" t="s">
        <v>997</v>
      </c>
      <c r="C2298" s="3" t="s">
        <v>2468</v>
      </c>
      <c r="D2298" s="4" t="str">
        <f>HYPERLINK("https://12go.asia/en/travel/rizhao-west/taian-shandong", "12Go Link")</f>
        <v>12Go Link</v>
      </c>
      <c r="E2298" s="3" t="s">
        <v>94</v>
      </c>
      <c r="K2298" s="5"/>
    </row>
    <row r="2299">
      <c r="A2299" s="3" t="s">
        <v>1249</v>
      </c>
      <c r="B2299" s="3" t="s">
        <v>997</v>
      </c>
      <c r="C2299" s="3" t="s">
        <v>2469</v>
      </c>
      <c r="D2299" s="4" t="str">
        <f>HYPERLINK("https://12go.asia/en/travel/rizhao-west/taishan-shandong", "12Go Link")</f>
        <v>12Go Link</v>
      </c>
      <c r="E2299" s="3" t="s">
        <v>94</v>
      </c>
      <c r="K2299" s="5"/>
    </row>
    <row r="2300">
      <c r="A2300" s="3" t="s">
        <v>1249</v>
      </c>
      <c r="B2300" s="3" t="s">
        <v>997</v>
      </c>
      <c r="C2300" s="3" t="s">
        <v>2470</v>
      </c>
      <c r="D2300" s="4" t="str">
        <f>HYPERLINK("https://12go.asia/en/travel/rizhao/taian-shandong", "12Go Link")</f>
        <v>12Go Link</v>
      </c>
      <c r="E2300" s="3" t="s">
        <v>94</v>
      </c>
      <c r="K2300" s="5"/>
    </row>
    <row r="2301">
      <c r="A2301" s="3" t="s">
        <v>1249</v>
      </c>
      <c r="B2301" s="3" t="s">
        <v>564</v>
      </c>
      <c r="C2301" s="3" t="s">
        <v>2471</v>
      </c>
      <c r="D2301" s="4" t="str">
        <f>HYPERLINK("https://12go.asia/en/travel/rizhao/tianxin", "12Go Link")</f>
        <v>12Go Link</v>
      </c>
      <c r="E2301" s="3" t="s">
        <v>94</v>
      </c>
      <c r="K2301" s="5"/>
    </row>
    <row r="2302">
      <c r="A2302" s="3" t="s">
        <v>1249</v>
      </c>
      <c r="B2302" s="3" t="s">
        <v>1263</v>
      </c>
      <c r="C2302" s="3" t="s">
        <v>2472</v>
      </c>
      <c r="D2302" s="4" t="str">
        <f>HYPERLINK("https://12go.asia/en/travel/rizhao-west/weihai", "12Go Link")</f>
        <v>12Go Link</v>
      </c>
      <c r="E2302" s="3" t="s">
        <v>94</v>
      </c>
      <c r="K2302" s="5"/>
    </row>
    <row r="2303">
      <c r="A2303" s="3" t="s">
        <v>1249</v>
      </c>
      <c r="B2303" s="3" t="s">
        <v>1263</v>
      </c>
      <c r="C2303" s="3" t="s">
        <v>2473</v>
      </c>
      <c r="D2303" s="4" t="str">
        <f>HYPERLINK("https://12go.asia/en/travel/rizhao-west/weihai-north", "12Go Link")</f>
        <v>12Go Link</v>
      </c>
      <c r="E2303" s="3" t="s">
        <v>94</v>
      </c>
      <c r="K2303" s="5"/>
    </row>
    <row r="2304">
      <c r="A2304" s="3" t="s">
        <v>1249</v>
      </c>
      <c r="B2304" s="3" t="s">
        <v>1263</v>
      </c>
      <c r="C2304" s="3" t="s">
        <v>2474</v>
      </c>
      <c r="D2304" s="4" t="str">
        <f>HYPERLINK("https://12go.asia/en/travel/rizhao/weihai", "12Go Link")</f>
        <v>12Go Link</v>
      </c>
      <c r="E2304" s="3" t="s">
        <v>94</v>
      </c>
      <c r="K2304" s="5"/>
    </row>
    <row r="2305">
      <c r="A2305" s="3" t="s">
        <v>1249</v>
      </c>
      <c r="B2305" s="3" t="s">
        <v>568</v>
      </c>
      <c r="C2305" s="3" t="s">
        <v>2475</v>
      </c>
      <c r="D2305" s="4" t="str">
        <f>HYPERLINK("https://12go.asia/en/travel/rizhao/xigu", "12Go Link")</f>
        <v>12Go Link</v>
      </c>
      <c r="E2305" s="3" t="s">
        <v>94</v>
      </c>
      <c r="K2305" s="5"/>
    </row>
    <row r="2306">
      <c r="A2306" s="3" t="s">
        <v>1249</v>
      </c>
      <c r="B2306" s="3" t="s">
        <v>712</v>
      </c>
      <c r="C2306" s="3" t="s">
        <v>2476</v>
      </c>
      <c r="D2306" s="4" t="str">
        <f>HYPERLINK("https://12go.asia/en/travel/rizhao/xihu", "12Go Link")</f>
        <v>12Go Link</v>
      </c>
      <c r="E2306" s="3" t="s">
        <v>94</v>
      </c>
      <c r="K2306" s="5"/>
    </row>
    <row r="2307">
      <c r="A2307" s="3" t="s">
        <v>1249</v>
      </c>
      <c r="B2307" s="3" t="s">
        <v>575</v>
      </c>
      <c r="C2307" s="3" t="s">
        <v>2477</v>
      </c>
      <c r="D2307" s="4" t="str">
        <f>HYPERLINK("https://12go.asia/en/travel/rizhao/xishui", "12Go Link")</f>
        <v>12Go Link</v>
      </c>
      <c r="E2307" s="3" t="s">
        <v>94</v>
      </c>
      <c r="K2307" s="5"/>
    </row>
    <row r="2308">
      <c r="A2308" s="3" t="s">
        <v>1249</v>
      </c>
      <c r="B2308" s="3" t="s">
        <v>585</v>
      </c>
      <c r="C2308" s="3" t="s">
        <v>2478</v>
      </c>
      <c r="D2308" s="4" t="str">
        <f>HYPERLINK("https://12go.asia/en/travel/rizhao-west/zhengzhou-east", "12Go Link")</f>
        <v>12Go Link</v>
      </c>
      <c r="E2308" s="3" t="s">
        <v>94</v>
      </c>
      <c r="K2308" s="5"/>
    </row>
    <row r="2309">
      <c r="A2309" s="3" t="s">
        <v>1249</v>
      </c>
      <c r="B2309" s="3" t="s">
        <v>585</v>
      </c>
      <c r="C2309" s="3" t="s">
        <v>2479</v>
      </c>
      <c r="D2309" s="4" t="str">
        <f>HYPERLINK("https://12go.asia/en/travel/rizhao/zhengzhou", "12Go Link")</f>
        <v>12Go Link</v>
      </c>
      <c r="E2309" s="3" t="s">
        <v>94</v>
      </c>
      <c r="K2309" s="5"/>
    </row>
    <row r="2310">
      <c r="A2310" s="3" t="s">
        <v>2480</v>
      </c>
      <c r="B2310" s="3" t="s">
        <v>745</v>
      </c>
      <c r="C2310" s="3" t="s">
        <v>2481</v>
      </c>
      <c r="D2310" s="4" t="str">
        <f>HYPERLINK("https://12go.asia/en/travel/ruijin/changsha", "12Go Link")</f>
        <v>12Go Link</v>
      </c>
      <c r="E2310" s="3" t="s">
        <v>94</v>
      </c>
      <c r="K2310" s="5"/>
    </row>
    <row r="2311">
      <c r="A2311" s="3" t="s">
        <v>2480</v>
      </c>
      <c r="B2311" s="3" t="s">
        <v>745</v>
      </c>
      <c r="C2311" s="3" t="s">
        <v>2482</v>
      </c>
      <c r="D2311" s="4" t="str">
        <f>HYPERLINK("https://12go.asia/en/travel/ruijin/changsha-south", "12Go Link")</f>
        <v>12Go Link</v>
      </c>
      <c r="E2311" s="3" t="s">
        <v>94</v>
      </c>
      <c r="K2311" s="5"/>
    </row>
    <row r="2312">
      <c r="A2312" s="3" t="s">
        <v>2480</v>
      </c>
      <c r="B2312" s="3" t="s">
        <v>755</v>
      </c>
      <c r="C2312" s="3" t="s">
        <v>2483</v>
      </c>
      <c r="D2312" s="4" t="str">
        <f>HYPERLINK("https://12go.asia/en/travel/ruijin/hangzhou", "12Go Link")</f>
        <v>12Go Link</v>
      </c>
      <c r="E2312" s="3" t="s">
        <v>94</v>
      </c>
      <c r="K2312" s="5"/>
    </row>
    <row r="2313">
      <c r="A2313" s="3" t="s">
        <v>2480</v>
      </c>
      <c r="B2313" s="3" t="s">
        <v>755</v>
      </c>
      <c r="C2313" s="3" t="s">
        <v>2484</v>
      </c>
      <c r="D2313" s="4" t="str">
        <f>HYPERLINK("https://12go.asia/en/travel/ruijin/hangzhou-east", "12Go Link")</f>
        <v>12Go Link</v>
      </c>
      <c r="E2313" s="3" t="s">
        <v>94</v>
      </c>
      <c r="K2313" s="5"/>
    </row>
    <row r="2314">
      <c r="A2314" s="3" t="s">
        <v>2480</v>
      </c>
      <c r="B2314" s="3" t="s">
        <v>536</v>
      </c>
      <c r="C2314" s="3" t="s">
        <v>2485</v>
      </c>
      <c r="D2314" s="4" t="str">
        <f>HYPERLINK("https://12go.asia/en/travel/ruijin/hunan", "12Go Link")</f>
        <v>12Go Link</v>
      </c>
      <c r="E2314" s="3" t="s">
        <v>94</v>
      </c>
      <c r="K2314" s="5"/>
    </row>
    <row r="2315">
      <c r="A2315" s="3" t="s">
        <v>2480</v>
      </c>
      <c r="B2315" s="3" t="s">
        <v>564</v>
      </c>
      <c r="C2315" s="3" t="s">
        <v>2486</v>
      </c>
      <c r="D2315" s="4" t="str">
        <f>HYPERLINK("https://12go.asia/en/travel/ruijin/tianxin", "12Go Link")</f>
        <v>12Go Link</v>
      </c>
      <c r="E2315" s="3" t="s">
        <v>94</v>
      </c>
      <c r="K2315" s="5"/>
    </row>
    <row r="2316">
      <c r="A2316" s="3" t="s">
        <v>2480</v>
      </c>
      <c r="B2316" s="3" t="s">
        <v>712</v>
      </c>
      <c r="C2316" s="3" t="s">
        <v>2487</v>
      </c>
      <c r="D2316" s="4" t="str">
        <f>HYPERLINK("https://12go.asia/en/travel/ruijin/xihu", "12Go Link")</f>
        <v>12Go Link</v>
      </c>
      <c r="E2316" s="3" t="s">
        <v>94</v>
      </c>
      <c r="K2316" s="5"/>
    </row>
    <row r="2317">
      <c r="A2317" s="3" t="s">
        <v>2480</v>
      </c>
      <c r="B2317" s="3" t="s">
        <v>1021</v>
      </c>
      <c r="C2317" s="3" t="s">
        <v>2488</v>
      </c>
      <c r="D2317" s="4" t="str">
        <f>HYPERLINK("https://12go.asia/en/travel/ruijin/zhejiang", "12Go Link")</f>
        <v>12Go Link</v>
      </c>
      <c r="E2317" s="3" t="s">
        <v>94</v>
      </c>
      <c r="K2317" s="5"/>
    </row>
    <row r="2318">
      <c r="A2318" s="3" t="s">
        <v>550</v>
      </c>
      <c r="B2318" s="3" t="s">
        <v>1562</v>
      </c>
      <c r="C2318" s="3" t="s">
        <v>2489</v>
      </c>
      <c r="D2318" s="4" t="str">
        <f>HYPERLINK("https://12go.asia/en/travel/saihan/enping", "12Go Link")</f>
        <v>12Go Link</v>
      </c>
      <c r="E2318" s="3" t="s">
        <v>94</v>
      </c>
      <c r="K2318" s="5"/>
    </row>
    <row r="2319">
      <c r="A2319" s="3" t="s">
        <v>550</v>
      </c>
      <c r="B2319" s="3" t="s">
        <v>2490</v>
      </c>
      <c r="C2319" s="3" t="s">
        <v>2491</v>
      </c>
      <c r="D2319" s="4" t="str">
        <f>HYPERLINK("https://12go.asia/en/travel/saihan/loudi", "12Go Link")</f>
        <v>12Go Link</v>
      </c>
      <c r="E2319" s="3" t="s">
        <v>94</v>
      </c>
      <c r="K2319" s="5"/>
    </row>
    <row r="2320">
      <c r="A2320" s="3" t="s">
        <v>550</v>
      </c>
      <c r="B2320" s="3" t="s">
        <v>1006</v>
      </c>
      <c r="C2320" s="3" t="s">
        <v>2492</v>
      </c>
      <c r="D2320" s="4" t="str">
        <f>HYPERLINK("https://12go.asia/en/travel/saihan/xiangtan", "12Go Link")</f>
        <v>12Go Link</v>
      </c>
      <c r="E2320" s="3" t="s">
        <v>94</v>
      </c>
      <c r="K2320" s="5"/>
    </row>
    <row r="2321">
      <c r="A2321" s="3" t="s">
        <v>550</v>
      </c>
      <c r="B2321" s="3" t="s">
        <v>2493</v>
      </c>
      <c r="C2321" s="3" t="s">
        <v>2494</v>
      </c>
      <c r="D2321" s="4" t="str">
        <f>HYPERLINK("https://12go.asia/en/travel/saihan/yangzhou", "12Go Link")</f>
        <v>12Go Link</v>
      </c>
      <c r="E2321" s="3" t="s">
        <v>94</v>
      </c>
      <c r="K2321" s="5"/>
    </row>
    <row r="2322">
      <c r="A2322" s="3" t="s">
        <v>550</v>
      </c>
      <c r="B2322" s="3" t="s">
        <v>2495</v>
      </c>
      <c r="C2322" s="3" t="s">
        <v>2496</v>
      </c>
      <c r="D2322" s="4" t="str">
        <f>HYPERLINK("https://12go.asia/en/travel/saihan/zhangjiagang", "12Go Link")</f>
        <v>12Go Link</v>
      </c>
      <c r="E2322" s="3" t="s">
        <v>94</v>
      </c>
      <c r="K2322" s="5"/>
    </row>
    <row r="2323">
      <c r="A2323" s="3" t="s">
        <v>2497</v>
      </c>
      <c r="B2323" s="3" t="s">
        <v>1749</v>
      </c>
      <c r="C2323" s="3" t="s">
        <v>2498</v>
      </c>
      <c r="D2323" s="4" t="str">
        <f>HYPERLINK("https://12go.asia/en/travel/bachu/hami", "12Go Link")</f>
        <v>12Go Link</v>
      </c>
      <c r="E2323" s="3" t="s">
        <v>94</v>
      </c>
      <c r="K2323" s="5"/>
    </row>
    <row r="2324">
      <c r="A2324" s="3" t="s">
        <v>2497</v>
      </c>
      <c r="B2324" s="3" t="s">
        <v>1749</v>
      </c>
      <c r="C2324" s="3" t="s">
        <v>2499</v>
      </c>
      <c r="D2324" s="4" t="str">
        <f>HYPERLINK("https://12go.asia/en/travel/shache/hami", "12Go Link")</f>
        <v>12Go Link</v>
      </c>
      <c r="E2324" s="3" t="s">
        <v>94</v>
      </c>
      <c r="K2324" s="5"/>
    </row>
    <row r="2325">
      <c r="A2325" s="3" t="s">
        <v>2021</v>
      </c>
      <c r="B2325" s="3" t="s">
        <v>2290</v>
      </c>
      <c r="C2325" s="3" t="s">
        <v>2500</v>
      </c>
      <c r="D2325" s="4" t="str">
        <f>HYPERLINK("https://12go.asia/en/travel/shandan/jiuquan", "12Go Link")</f>
        <v>12Go Link</v>
      </c>
      <c r="E2325" s="3" t="s">
        <v>94</v>
      </c>
      <c r="K2325" s="5"/>
    </row>
    <row r="2326">
      <c r="A2326" s="3" t="s">
        <v>1252</v>
      </c>
      <c r="B2326" s="3" t="s">
        <v>831</v>
      </c>
      <c r="C2326" s="3" t="s">
        <v>2501</v>
      </c>
      <c r="D2326" s="4" t="str">
        <f>HYPERLINK("https://12go.asia/en/travel/shandong/changzhou", "12Go Link")</f>
        <v>12Go Link</v>
      </c>
      <c r="E2326" s="3" t="s">
        <v>94</v>
      </c>
      <c r="K2326" s="5"/>
    </row>
    <row r="2327">
      <c r="A2327" s="3" t="s">
        <v>1252</v>
      </c>
      <c r="B2327" s="3" t="s">
        <v>1240</v>
      </c>
      <c r="C2327" s="3" t="s">
        <v>2502</v>
      </c>
      <c r="D2327" s="4" t="str">
        <f>HYPERLINK("https://12go.asia/en/travel/qingzhou/jinan", "12Go Link")</f>
        <v>12Go Link</v>
      </c>
      <c r="E2327" s="3" t="s">
        <v>94</v>
      </c>
      <c r="K2327" s="5"/>
    </row>
    <row r="2328">
      <c r="A2328" s="3" t="s">
        <v>1252</v>
      </c>
      <c r="B2328" s="3" t="s">
        <v>1467</v>
      </c>
      <c r="C2328" s="3" t="s">
        <v>2503</v>
      </c>
      <c r="D2328" s="4" t="str">
        <f>HYPERLINK("https://12go.asia/en/travel/zaozhuang/qingdao", "12Go Link")</f>
        <v>12Go Link</v>
      </c>
      <c r="E2328" s="3" t="s">
        <v>94</v>
      </c>
      <c r="K2328" s="5"/>
    </row>
    <row r="2329">
      <c r="A2329" s="3" t="s">
        <v>1252</v>
      </c>
      <c r="B2329" s="3" t="s">
        <v>1467</v>
      </c>
      <c r="C2329" s="3" t="s">
        <v>2504</v>
      </c>
      <c r="D2329" s="4" t="str">
        <f>HYPERLINK("https://12go.asia/en/travel/zaozhuang/qingdao-north", "12Go Link")</f>
        <v>12Go Link</v>
      </c>
      <c r="E2329" s="3" t="s">
        <v>94</v>
      </c>
      <c r="K2329" s="5"/>
    </row>
    <row r="2330">
      <c r="A2330" s="3" t="s">
        <v>1252</v>
      </c>
      <c r="B2330" s="3" t="s">
        <v>585</v>
      </c>
      <c r="C2330" s="3" t="s">
        <v>2505</v>
      </c>
      <c r="D2330" s="4" t="str">
        <f>HYPERLINK("https://12go.asia/en/travel/qufu-east/zhengzhou-east", "12Go Link")</f>
        <v>12Go Link</v>
      </c>
      <c r="E2330" s="3" t="s">
        <v>94</v>
      </c>
      <c r="K2330" s="5"/>
    </row>
    <row r="2331">
      <c r="A2331" s="3" t="s">
        <v>1252</v>
      </c>
      <c r="B2331" s="3" t="s">
        <v>585</v>
      </c>
      <c r="C2331" s="3" t="s">
        <v>2506</v>
      </c>
      <c r="D2331" s="4" t="str">
        <f>HYPERLINK("https://12go.asia/en/travel/zaozhuang/zhengzhou-east", "12Go Link")</f>
        <v>12Go Link</v>
      </c>
      <c r="E2331" s="3" t="s">
        <v>94</v>
      </c>
      <c r="K2331" s="5"/>
    </row>
    <row r="2332">
      <c r="A2332" s="3" t="s">
        <v>1252</v>
      </c>
      <c r="B2332" s="3" t="s">
        <v>1271</v>
      </c>
      <c r="C2332" s="3" t="s">
        <v>2507</v>
      </c>
      <c r="D2332" s="4" t="str">
        <f>HYPERLINK("https://12go.asia/en/travel/shandong/zibo", "12Go Link")</f>
        <v>12Go Link</v>
      </c>
      <c r="E2332" s="3" t="s">
        <v>94</v>
      </c>
      <c r="K2332" s="5"/>
    </row>
    <row r="2333">
      <c r="A2333" s="3" t="s">
        <v>512</v>
      </c>
      <c r="B2333" s="3" t="s">
        <v>1079</v>
      </c>
      <c r="C2333" s="3" t="s">
        <v>2508</v>
      </c>
      <c r="D2333" s="4" t="str">
        <f>HYPERLINK("https://12go.asia/en/travel/shanghai-hongqiao/xuancheng", "12Go Link")</f>
        <v>12Go Link</v>
      </c>
      <c r="E2333" s="3" t="s">
        <v>94</v>
      </c>
      <c r="K2333" s="5"/>
    </row>
    <row r="2334">
      <c r="A2334" s="3" t="s">
        <v>512</v>
      </c>
      <c r="B2334" s="3" t="s">
        <v>1360</v>
      </c>
      <c r="C2334" s="3" t="s">
        <v>2509</v>
      </c>
      <c r="D2334" s="4" t="str">
        <f>HYPERLINK("https://12go.asia/en/travel/shanghai-hongqiao/changle-east", "12Go Link")</f>
        <v>12Go Link</v>
      </c>
      <c r="E2334" s="3" t="s">
        <v>94</v>
      </c>
      <c r="K2334" s="5"/>
    </row>
    <row r="2335">
      <c r="A2335" s="3" t="s">
        <v>512</v>
      </c>
      <c r="B2335" s="3" t="s">
        <v>1362</v>
      </c>
      <c r="C2335" s="3" t="s">
        <v>2510</v>
      </c>
      <c r="D2335" s="4" t="str">
        <f>HYPERLINK("https://12go.asia/en/travel/shanghai-hongqiao/minqing-north", "12Go Link")</f>
        <v>12Go Link</v>
      </c>
      <c r="E2335" s="3" t="s">
        <v>94</v>
      </c>
      <c r="K2335" s="5"/>
    </row>
    <row r="2336">
      <c r="A2336" s="3" t="s">
        <v>512</v>
      </c>
      <c r="B2336" s="3" t="s">
        <v>755</v>
      </c>
      <c r="C2336" s="3" t="s">
        <v>2511</v>
      </c>
      <c r="D2336" s="4" t="str">
        <f>HYPERLINK("https://12go.asia/en/travel/shanghai-west/hangzhou", "12Go Link")</f>
        <v>12Go Link</v>
      </c>
      <c r="E2336" s="3" t="s">
        <v>94</v>
      </c>
      <c r="K2336" s="5"/>
    </row>
    <row r="2337">
      <c r="A2337" s="3" t="s">
        <v>512</v>
      </c>
      <c r="B2337" s="3" t="s">
        <v>1236</v>
      </c>
      <c r="C2337" s="3" t="s">
        <v>2512</v>
      </c>
      <c r="D2337" s="4" t="str">
        <f>HYPERLINK("https://12go.asia/en/travel/shanghai-hongqiao/hengshui-north", "12Go Link")</f>
        <v>12Go Link</v>
      </c>
      <c r="E2337" s="3" t="s">
        <v>94</v>
      </c>
      <c r="K2337" s="5"/>
    </row>
    <row r="2338">
      <c r="A2338" s="3" t="s">
        <v>512</v>
      </c>
      <c r="B2338" s="3" t="s">
        <v>538</v>
      </c>
      <c r="C2338" s="3" t="s">
        <v>2513</v>
      </c>
      <c r="D2338" s="4" t="str">
        <f>HYPERLINK("https://12go.asia/en/travel/shanghai-hongqiao/yingtan-north", "12Go Link")</f>
        <v>12Go Link</v>
      </c>
      <c r="E2338" s="3" t="s">
        <v>94</v>
      </c>
      <c r="K2338" s="5"/>
    </row>
    <row r="2339">
      <c r="A2339" s="3" t="s">
        <v>512</v>
      </c>
      <c r="B2339" s="3" t="s">
        <v>1246</v>
      </c>
      <c r="C2339" s="3" t="s">
        <v>2514</v>
      </c>
      <c r="D2339" s="4" t="str">
        <f>HYPERLINK("https://12go.asia/en/travel/shanghai-hongqiao/guannan", "12Go Link")</f>
        <v>12Go Link</v>
      </c>
      <c r="E2339" s="3" t="s">
        <v>94</v>
      </c>
      <c r="K2339" s="5"/>
    </row>
    <row r="2340">
      <c r="A2340" s="3" t="s">
        <v>512</v>
      </c>
      <c r="B2340" s="3" t="s">
        <v>1246</v>
      </c>
      <c r="C2340" s="3" t="s">
        <v>2515</v>
      </c>
      <c r="D2340" s="4" t="str">
        <f>HYPERLINK("https://12go.asia/en/travel/shanghai-hongqiao/guanyun", "12Go Link")</f>
        <v>12Go Link</v>
      </c>
      <c r="E2340" s="3" t="s">
        <v>94</v>
      </c>
      <c r="K2340" s="5"/>
    </row>
    <row r="2341">
      <c r="A2341" s="3" t="s">
        <v>512</v>
      </c>
      <c r="B2341" s="3" t="s">
        <v>1246</v>
      </c>
      <c r="C2341" s="3" t="s">
        <v>2516</v>
      </c>
      <c r="D2341" s="4" t="str">
        <f>HYPERLINK("https://12go.asia/en/travel/shanghai-west/guannan", "12Go Link")</f>
        <v>12Go Link</v>
      </c>
      <c r="E2341" s="3" t="s">
        <v>94</v>
      </c>
      <c r="K2341" s="5"/>
    </row>
    <row r="2342">
      <c r="A2342" s="3" t="s">
        <v>512</v>
      </c>
      <c r="B2342" s="3" t="s">
        <v>1246</v>
      </c>
      <c r="C2342" s="3" t="s">
        <v>2517</v>
      </c>
      <c r="D2342" s="4" t="str">
        <f>HYPERLINK("https://12go.asia/en/travel/shanghai-west/guanyun", "12Go Link")</f>
        <v>12Go Link</v>
      </c>
      <c r="E2342" s="3" t="s">
        <v>94</v>
      </c>
      <c r="K2342" s="5"/>
    </row>
    <row r="2343">
      <c r="A2343" s="3" t="s">
        <v>512</v>
      </c>
      <c r="B2343" s="3" t="s">
        <v>1246</v>
      </c>
      <c r="C2343" s="3" t="s">
        <v>2518</v>
      </c>
      <c r="D2343" s="4" t="str">
        <f>HYPERLINK("https://12go.asia/en/travel/shanghai/guannan", "12Go Link")</f>
        <v>12Go Link</v>
      </c>
      <c r="E2343" s="3" t="s">
        <v>94</v>
      </c>
      <c r="K2343" s="5"/>
    </row>
    <row r="2344">
      <c r="A2344" s="3" t="s">
        <v>512</v>
      </c>
      <c r="B2344" s="3" t="s">
        <v>1246</v>
      </c>
      <c r="C2344" s="3" t="s">
        <v>2519</v>
      </c>
      <c r="D2344" s="4" t="str">
        <f>HYPERLINK("https://12go.asia/en/travel/shanghai/guanyun", "12Go Link")</f>
        <v>12Go Link</v>
      </c>
      <c r="E2344" s="3" t="s">
        <v>94</v>
      </c>
      <c r="K2344" s="5"/>
    </row>
    <row r="2345">
      <c r="A2345" s="3" t="s">
        <v>512</v>
      </c>
      <c r="B2345" s="3" t="s">
        <v>677</v>
      </c>
      <c r="C2345" s="3" t="s">
        <v>2520</v>
      </c>
      <c r="D2345" s="4" t="str">
        <f>HYPERLINK("https://12go.asia/en/travel/shanghai/miluo", "12Go Link")</f>
        <v>12Go Link</v>
      </c>
      <c r="E2345" s="3" t="s">
        <v>94</v>
      </c>
      <c r="K2345" s="5"/>
    </row>
    <row r="2346">
      <c r="A2346" s="3" t="s">
        <v>512</v>
      </c>
      <c r="B2346" s="3" t="s">
        <v>679</v>
      </c>
      <c r="C2346" s="3" t="s">
        <v>2521</v>
      </c>
      <c r="D2346" s="4" t="str">
        <f>HYPERLINK("https://12go.asia/en/travel/shanghai/mingxi", "12Go Link")</f>
        <v>12Go Link</v>
      </c>
      <c r="E2346" s="3" t="s">
        <v>94</v>
      </c>
      <c r="K2346" s="5"/>
    </row>
    <row r="2347">
      <c r="A2347" s="3" t="s">
        <v>512</v>
      </c>
      <c r="B2347" s="3" t="s">
        <v>1467</v>
      </c>
      <c r="C2347" s="3" t="s">
        <v>2522</v>
      </c>
      <c r="D2347" s="4" t="str">
        <f>HYPERLINK("https://12go.asia/en/travel/shanghai-west/qingdao-west", "12Go Link")</f>
        <v>12Go Link</v>
      </c>
      <c r="E2347" s="3" t="s">
        <v>94</v>
      </c>
      <c r="K2347" s="5"/>
    </row>
    <row r="2348">
      <c r="A2348" s="3" t="s">
        <v>512</v>
      </c>
      <c r="B2348" s="3" t="s">
        <v>2523</v>
      </c>
      <c r="C2348" s="3" t="s">
        <v>2524</v>
      </c>
      <c r="D2348" s="4" t="str">
        <f>HYPERLINK("https://12go.asia/en/travel/shanghai-hongqiao/taihedong", "12Go Link")</f>
        <v>12Go Link</v>
      </c>
      <c r="E2348" s="3" t="s">
        <v>94</v>
      </c>
      <c r="K2348" s="5"/>
    </row>
    <row r="2349">
      <c r="A2349" s="3" t="s">
        <v>512</v>
      </c>
      <c r="B2349" s="3" t="s">
        <v>2523</v>
      </c>
      <c r="C2349" s="3" t="s">
        <v>2525</v>
      </c>
      <c r="D2349" s="4" t="str">
        <f>HYPERLINK("https://12go.asia/en/travel/shanghai/qingyuan", "12Go Link")</f>
        <v>12Go Link</v>
      </c>
      <c r="E2349" s="3" t="s">
        <v>94</v>
      </c>
      <c r="K2349" s="5"/>
    </row>
    <row r="2350">
      <c r="A2350" s="3" t="s">
        <v>512</v>
      </c>
      <c r="B2350" s="3" t="s">
        <v>550</v>
      </c>
      <c r="C2350" s="3" t="s">
        <v>2526</v>
      </c>
      <c r="D2350" s="4" t="str">
        <f>HYPERLINK("https://12go.asia/en/travel/shanghai/saihan", "12Go Link")</f>
        <v>12Go Link</v>
      </c>
      <c r="E2350" s="3" t="s">
        <v>94</v>
      </c>
      <c r="K2350" s="5"/>
    </row>
    <row r="2351">
      <c r="A2351" s="3" t="s">
        <v>512</v>
      </c>
      <c r="B2351" s="3" t="s">
        <v>560</v>
      </c>
      <c r="C2351" s="3" t="s">
        <v>2527</v>
      </c>
      <c r="D2351" s="4" t="str">
        <f>HYPERLINK("https://12go.asia/en/travel/shanghai/shuangliu", "12Go Link")</f>
        <v>12Go Link</v>
      </c>
      <c r="E2351" s="3" t="s">
        <v>94</v>
      </c>
      <c r="K2351" s="5"/>
    </row>
    <row r="2352">
      <c r="A2352" s="3" t="s">
        <v>512</v>
      </c>
      <c r="B2352" s="3" t="s">
        <v>1757</v>
      </c>
      <c r="C2352" s="3" t="s">
        <v>2528</v>
      </c>
      <c r="D2352" s="4" t="str">
        <f>HYPERLINK("https://12go.asia/en/travel/shanghai-hongqiao/suqian", "12Go Link")</f>
        <v>12Go Link</v>
      </c>
      <c r="E2352" s="3" t="s">
        <v>94</v>
      </c>
      <c r="K2352" s="5"/>
    </row>
    <row r="2353">
      <c r="A2353" s="3" t="s">
        <v>512</v>
      </c>
      <c r="B2353" s="3" t="s">
        <v>1757</v>
      </c>
      <c r="C2353" s="3" t="s">
        <v>2529</v>
      </c>
      <c r="D2353" s="4" t="str">
        <f>HYPERLINK("https://12go.asia/en/travel/shanghai-west/suqian", "12Go Link")</f>
        <v>12Go Link</v>
      </c>
      <c r="E2353" s="3" t="s">
        <v>94</v>
      </c>
      <c r="K2353" s="5"/>
    </row>
    <row r="2354">
      <c r="A2354" s="3" t="s">
        <v>512</v>
      </c>
      <c r="B2354" s="3" t="s">
        <v>1757</v>
      </c>
      <c r="C2354" s="3" t="s">
        <v>2530</v>
      </c>
      <c r="D2354" s="4" t="str">
        <f>HYPERLINK("https://12go.asia/en/travel/shanghai/suqian", "12Go Link")</f>
        <v>12Go Link</v>
      </c>
      <c r="E2354" s="3" t="s">
        <v>94</v>
      </c>
      <c r="K2354" s="5"/>
    </row>
    <row r="2355">
      <c r="A2355" s="3" t="s">
        <v>512</v>
      </c>
      <c r="B2355" s="3" t="s">
        <v>883</v>
      </c>
      <c r="C2355" s="3" t="s">
        <v>2531</v>
      </c>
      <c r="D2355" s="4" t="str">
        <f>HYPERLINK("https://12go.asia/en/travel/shanghai/taian", "12Go Link")</f>
        <v>12Go Link</v>
      </c>
      <c r="E2355" s="3" t="s">
        <v>94</v>
      </c>
      <c r="K2355" s="5"/>
    </row>
    <row r="2356">
      <c r="A2356" s="3" t="s">
        <v>512</v>
      </c>
      <c r="B2356" s="3" t="s">
        <v>564</v>
      </c>
      <c r="C2356" s="3" t="s">
        <v>2532</v>
      </c>
      <c r="D2356" s="4" t="str">
        <f>HYPERLINK("https://12go.asia/en/travel/shanghai/tianxin", "12Go Link")</f>
        <v>12Go Link</v>
      </c>
      <c r="E2356" s="3" t="s">
        <v>94</v>
      </c>
      <c r="K2356" s="5"/>
    </row>
    <row r="2357">
      <c r="A2357" s="3" t="s">
        <v>512</v>
      </c>
      <c r="B2357" s="3" t="s">
        <v>566</v>
      </c>
      <c r="C2357" s="3" t="s">
        <v>2533</v>
      </c>
      <c r="D2357" s="4" t="str">
        <f>HYPERLINK("https://12go.asia/en/travel/shanghai/wenjiang", "12Go Link")</f>
        <v>12Go Link</v>
      </c>
      <c r="E2357" s="3" t="s">
        <v>94</v>
      </c>
      <c r="K2357" s="5"/>
    </row>
    <row r="2358">
      <c r="A2358" s="3" t="s">
        <v>512</v>
      </c>
      <c r="B2358" s="3" t="s">
        <v>793</v>
      </c>
      <c r="C2358" s="3" t="s">
        <v>2534</v>
      </c>
      <c r="D2358" s="4" t="str">
        <f>HYPERLINK("https://12go.asia/en/travel/shanghai-hongqiao/yueqing-east", "12Go Link")</f>
        <v>12Go Link</v>
      </c>
      <c r="E2358" s="3" t="s">
        <v>94</v>
      </c>
      <c r="K2358" s="5"/>
    </row>
    <row r="2359">
      <c r="A2359" s="3" t="s">
        <v>512</v>
      </c>
      <c r="B2359" s="3" t="s">
        <v>1406</v>
      </c>
      <c r="C2359" s="3" t="s">
        <v>2535</v>
      </c>
      <c r="D2359" s="4" t="str">
        <f>HYPERLINK("https://12go.asia/en/travel/shanghai-hongqiao/xiangyang-east", "12Go Link")</f>
        <v>12Go Link</v>
      </c>
      <c r="E2359" s="3" t="s">
        <v>94</v>
      </c>
      <c r="K2359" s="5"/>
    </row>
    <row r="2360">
      <c r="A2360" s="3" t="s">
        <v>512</v>
      </c>
      <c r="B2360" s="3" t="s">
        <v>568</v>
      </c>
      <c r="C2360" s="3" t="s">
        <v>2536</v>
      </c>
      <c r="D2360" s="4" t="str">
        <f>HYPERLINK("https://12go.asia/en/travel/shanghai/xigu", "12Go Link")</f>
        <v>12Go Link</v>
      </c>
      <c r="E2360" s="3" t="s">
        <v>94</v>
      </c>
      <c r="K2360" s="5"/>
    </row>
    <row r="2361">
      <c r="A2361" s="3" t="s">
        <v>512</v>
      </c>
      <c r="B2361" s="3" t="s">
        <v>712</v>
      </c>
      <c r="C2361" s="3" t="s">
        <v>2537</v>
      </c>
      <c r="D2361" s="4" t="str">
        <f>HYPERLINK("https://12go.asia/en/travel/shanghai/xihu", "12Go Link")</f>
        <v>12Go Link</v>
      </c>
      <c r="E2361" s="3" t="s">
        <v>94</v>
      </c>
      <c r="K2361" s="5"/>
    </row>
    <row r="2362">
      <c r="A2362" s="3" t="s">
        <v>512</v>
      </c>
      <c r="B2362" s="3" t="s">
        <v>806</v>
      </c>
      <c r="C2362" s="3" t="s">
        <v>2538</v>
      </c>
      <c r="D2362" s="4" t="str">
        <f>HYPERLINK("https://12go.asia/en/travel/shanghai-hongqiao/xinyang-east", "12Go Link")</f>
        <v>12Go Link</v>
      </c>
      <c r="E2362" s="3" t="s">
        <v>94</v>
      </c>
      <c r="K2362" s="5"/>
    </row>
    <row r="2363">
      <c r="A2363" s="3" t="s">
        <v>512</v>
      </c>
      <c r="B2363" s="3" t="s">
        <v>806</v>
      </c>
      <c r="C2363" s="3" t="s">
        <v>2539</v>
      </c>
      <c r="D2363" s="4" t="str">
        <f>HYPERLINK("https://12go.asia/en/travel/shanghai/xinyang-east", "12Go Link")</f>
        <v>12Go Link</v>
      </c>
      <c r="E2363" s="3" t="s">
        <v>94</v>
      </c>
      <c r="K2363" s="5"/>
    </row>
    <row r="2364">
      <c r="A2364" s="3" t="s">
        <v>512</v>
      </c>
      <c r="B2364" s="3" t="s">
        <v>2540</v>
      </c>
      <c r="C2364" s="3" t="s">
        <v>2541</v>
      </c>
      <c r="D2364" s="4" t="str">
        <f>HYPERLINK("https://12go.asia/en/travel/shanghai/xinzhou-shanxi", "12Go Link")</f>
        <v>12Go Link</v>
      </c>
      <c r="E2364" s="3" t="s">
        <v>94</v>
      </c>
      <c r="K2364" s="5"/>
    </row>
    <row r="2365">
      <c r="A2365" s="3" t="s">
        <v>512</v>
      </c>
      <c r="B2365" s="3" t="s">
        <v>2540</v>
      </c>
      <c r="C2365" s="3" t="s">
        <v>2542</v>
      </c>
      <c r="D2365" s="4" t="str">
        <f>HYPERLINK("https://12go.asia/en/travel/shanghai/xinzhou", "12Go Link")</f>
        <v>12Go Link</v>
      </c>
      <c r="E2365" s="3" t="s">
        <v>94</v>
      </c>
      <c r="K2365" s="5"/>
    </row>
    <row r="2366">
      <c r="A2366" s="3" t="s">
        <v>512</v>
      </c>
      <c r="B2366" s="3" t="s">
        <v>575</v>
      </c>
      <c r="C2366" s="3" t="s">
        <v>2543</v>
      </c>
      <c r="D2366" s="4" t="str">
        <f>HYPERLINK("https://12go.asia/en/travel/shanghai/xishui", "12Go Link")</f>
        <v>12Go Link</v>
      </c>
      <c r="E2366" s="3" t="s">
        <v>94</v>
      </c>
      <c r="K2366" s="5"/>
    </row>
    <row r="2367">
      <c r="A2367" s="3" t="s">
        <v>512</v>
      </c>
      <c r="B2367" s="3" t="s">
        <v>716</v>
      </c>
      <c r="C2367" s="3" t="s">
        <v>2544</v>
      </c>
      <c r="D2367" s="4" t="str">
        <f>HYPERLINK("https://12go.asia/en/travel/shanghai/xuanzhou", "12Go Link")</f>
        <v>12Go Link</v>
      </c>
      <c r="E2367" s="3" t="s">
        <v>94</v>
      </c>
      <c r="K2367" s="5"/>
    </row>
    <row r="2368">
      <c r="A2368" s="3" t="s">
        <v>512</v>
      </c>
      <c r="B2368" s="3" t="s">
        <v>577</v>
      </c>
      <c r="C2368" s="3" t="s">
        <v>2545</v>
      </c>
      <c r="D2368" s="4" t="str">
        <f>HYPERLINK("https://12go.asia/en/travel/shanghai/xunxian", "12Go Link")</f>
        <v>12Go Link</v>
      </c>
      <c r="E2368" s="3" t="s">
        <v>94</v>
      </c>
      <c r="K2368" s="5"/>
    </row>
    <row r="2369">
      <c r="A2369" s="3" t="s">
        <v>512</v>
      </c>
      <c r="B2369" s="3" t="s">
        <v>720</v>
      </c>
      <c r="C2369" s="3" t="s">
        <v>2546</v>
      </c>
      <c r="D2369" s="4" t="str">
        <f>HYPERLINK("https://12go.asia/en/travel/shanghai/yangchun", "12Go Link")</f>
        <v>12Go Link</v>
      </c>
      <c r="E2369" s="3" t="s">
        <v>94</v>
      </c>
      <c r="K2369" s="5"/>
    </row>
    <row r="2370">
      <c r="A2370" s="3" t="s">
        <v>512</v>
      </c>
      <c r="B2370" s="3" t="s">
        <v>2547</v>
      </c>
      <c r="C2370" s="3" t="s">
        <v>2548</v>
      </c>
      <c r="D2370" s="4" t="str">
        <f>HYPERLINK("https://12go.asia/en/travel/shanghai-hongqiao/yongshou-west", "12Go Link")</f>
        <v>12Go Link</v>
      </c>
      <c r="E2370" s="3" t="s">
        <v>94</v>
      </c>
      <c r="K2370" s="5"/>
    </row>
    <row r="2371">
      <c r="A2371" s="3" t="s">
        <v>512</v>
      </c>
      <c r="B2371" s="3" t="s">
        <v>2547</v>
      </c>
      <c r="C2371" s="3" t="s">
        <v>2549</v>
      </c>
      <c r="D2371" s="4" t="str">
        <f>HYPERLINK("https://12go.asia/en/travel/shanghai/yangshuo", "12Go Link")</f>
        <v>12Go Link</v>
      </c>
      <c r="E2371" s="3" t="s">
        <v>94</v>
      </c>
      <c r="K2371" s="5"/>
    </row>
    <row r="2372">
      <c r="A2372" s="3" t="s">
        <v>512</v>
      </c>
      <c r="B2372" s="3" t="s">
        <v>2493</v>
      </c>
      <c r="C2372" s="3" t="s">
        <v>2550</v>
      </c>
      <c r="D2372" s="4" t="str">
        <f>HYPERLINK("https://12go.asia/en/travel/shanghai-hongqiao/yangzhou-east", "12Go Link")</f>
        <v>12Go Link</v>
      </c>
      <c r="E2372" s="3" t="s">
        <v>94</v>
      </c>
      <c r="K2372" s="5"/>
    </row>
    <row r="2373">
      <c r="A2373" s="3" t="s">
        <v>512</v>
      </c>
      <c r="B2373" s="3" t="s">
        <v>2493</v>
      </c>
      <c r="C2373" s="3" t="s">
        <v>2551</v>
      </c>
      <c r="D2373" s="4" t="str">
        <f>HYPERLINK("https://12go.asia/en/travel/shanghai-west/yangzhou-east", "12Go Link")</f>
        <v>12Go Link</v>
      </c>
      <c r="E2373" s="3" t="s">
        <v>94</v>
      </c>
      <c r="K2373" s="5"/>
    </row>
    <row r="2374">
      <c r="A2374" s="3" t="s">
        <v>512</v>
      </c>
      <c r="B2374" s="3" t="s">
        <v>2493</v>
      </c>
      <c r="C2374" s="3" t="s">
        <v>2552</v>
      </c>
      <c r="D2374" s="4" t="str">
        <f>HYPERLINK("https://12go.asia/en/travel/shanghai/yangzhou-east", "12Go Link")</f>
        <v>12Go Link</v>
      </c>
      <c r="E2374" s="3" t="s">
        <v>94</v>
      </c>
      <c r="K2374" s="5"/>
    </row>
    <row r="2375">
      <c r="A2375" s="3" t="s">
        <v>512</v>
      </c>
      <c r="B2375" s="3" t="s">
        <v>1799</v>
      </c>
      <c r="C2375" s="3" t="s">
        <v>2553</v>
      </c>
      <c r="D2375" s="4" t="str">
        <f>HYPERLINK("https://12go.asia/en/travel/shanghai-hongqiao/ningxian", "12Go Link")</f>
        <v>12Go Link</v>
      </c>
      <c r="E2375" s="3" t="s">
        <v>94</v>
      </c>
      <c r="K2375" s="5"/>
    </row>
    <row r="2376">
      <c r="A2376" s="3" t="s">
        <v>512</v>
      </c>
      <c r="B2376" s="3" t="s">
        <v>1799</v>
      </c>
      <c r="C2376" s="3" t="s">
        <v>2554</v>
      </c>
      <c r="D2376" s="4" t="str">
        <f>HYPERLINK("https://12go.asia/en/travel/shanghai-hongqiao/yinchuan", "12Go Link")</f>
        <v>12Go Link</v>
      </c>
      <c r="E2376" s="3" t="s">
        <v>94</v>
      </c>
      <c r="K2376" s="5"/>
    </row>
    <row r="2377">
      <c r="A2377" s="3" t="s">
        <v>512</v>
      </c>
      <c r="B2377" s="3" t="s">
        <v>1799</v>
      </c>
      <c r="C2377" s="3" t="s">
        <v>2555</v>
      </c>
      <c r="D2377" s="4" t="str">
        <f>HYPERLINK("https://12go.asia/en/travel/shanghai/yinchuan", "12Go Link")</f>
        <v>12Go Link</v>
      </c>
      <c r="E2377" s="3" t="s">
        <v>94</v>
      </c>
      <c r="K2377" s="5"/>
    </row>
    <row r="2378">
      <c r="A2378" s="3" t="s">
        <v>512</v>
      </c>
      <c r="B2378" s="3" t="s">
        <v>585</v>
      </c>
      <c r="C2378" s="3" t="s">
        <v>2556</v>
      </c>
      <c r="D2378" s="4" t="str">
        <f>HYPERLINK("https://12go.asia/en/travel/shanghai-hongqiao/zhengzhou-hangkonggang", "12Go Link")</f>
        <v>12Go Link</v>
      </c>
      <c r="E2378" s="3" t="s">
        <v>94</v>
      </c>
      <c r="K2378" s="5"/>
    </row>
    <row r="2379">
      <c r="A2379" s="3" t="s">
        <v>1057</v>
      </c>
      <c r="B2379" s="3" t="s">
        <v>1079</v>
      </c>
      <c r="C2379" s="3" t="s">
        <v>2557</v>
      </c>
      <c r="D2379" s="4" t="str">
        <f>HYPERLINK("https://12go.asia/en/travel/shangqiu-south/xuancheng", "12Go Link")</f>
        <v>12Go Link</v>
      </c>
      <c r="E2379" s="3" t="s">
        <v>94</v>
      </c>
      <c r="K2379" s="5"/>
    </row>
    <row r="2380">
      <c r="A2380" s="3" t="s">
        <v>1057</v>
      </c>
      <c r="B2380" s="3" t="s">
        <v>1079</v>
      </c>
      <c r="C2380" s="3" t="s">
        <v>2558</v>
      </c>
      <c r="D2380" s="4" t="str">
        <f>HYPERLINK("https://12go.asia/en/travel/shangqiu/xuancheng", "12Go Link")</f>
        <v>12Go Link</v>
      </c>
      <c r="E2380" s="3" t="s">
        <v>94</v>
      </c>
      <c r="K2380" s="5"/>
    </row>
    <row r="2381">
      <c r="A2381" s="3" t="s">
        <v>1057</v>
      </c>
      <c r="B2381" s="3" t="s">
        <v>516</v>
      </c>
      <c r="C2381" s="3" t="s">
        <v>2559</v>
      </c>
      <c r="D2381" s="4" t="str">
        <f>HYPERLINK("https://12go.asia/en/travel/shangqiu/binhai", "12Go Link")</f>
        <v>12Go Link</v>
      </c>
      <c r="E2381" s="3" t="s">
        <v>94</v>
      </c>
      <c r="K2381" s="5"/>
    </row>
    <row r="2382">
      <c r="A2382" s="3" t="s">
        <v>1057</v>
      </c>
      <c r="B2382" s="3" t="s">
        <v>516</v>
      </c>
      <c r="C2382" s="3" t="s">
        <v>2560</v>
      </c>
      <c r="D2382" s="4" t="str">
        <f>HYPERLINK("https://12go.asia/en/travel/shangqiu/tanggu", "12Go Link")</f>
        <v>12Go Link</v>
      </c>
      <c r="E2382" s="3" t="s">
        <v>94</v>
      </c>
      <c r="K2382" s="5"/>
    </row>
    <row r="2383">
      <c r="A2383" s="3" t="s">
        <v>1057</v>
      </c>
      <c r="B2383" s="3" t="s">
        <v>1752</v>
      </c>
      <c r="C2383" s="3" t="s">
        <v>2561</v>
      </c>
      <c r="D2383" s="4" t="str">
        <f>HYPERLINK("https://12go.asia/en/travel/shangqiu/changzhi", "12Go Link")</f>
        <v>12Go Link</v>
      </c>
      <c r="E2383" s="3" t="s">
        <v>94</v>
      </c>
      <c r="K2383" s="5"/>
    </row>
    <row r="2384">
      <c r="A2384" s="3" t="s">
        <v>1057</v>
      </c>
      <c r="B2384" s="3" t="s">
        <v>1752</v>
      </c>
      <c r="C2384" s="3" t="s">
        <v>2562</v>
      </c>
      <c r="D2384" s="4" t="str">
        <f>HYPERLINK("https://12go.asia/en/travel/shangqiu/changzhi-south", "12Go Link")</f>
        <v>12Go Link</v>
      </c>
      <c r="E2384" s="3" t="s">
        <v>94</v>
      </c>
      <c r="K2384" s="5"/>
    </row>
    <row r="2385">
      <c r="A2385" s="3" t="s">
        <v>1057</v>
      </c>
      <c r="B2385" s="3" t="s">
        <v>1333</v>
      </c>
      <c r="C2385" s="3" t="s">
        <v>2563</v>
      </c>
      <c r="D2385" s="4" t="str">
        <f>HYPERLINK("https://12go.asia/en/travel/shangqiu/chongqing", "12Go Link")</f>
        <v>12Go Link</v>
      </c>
      <c r="E2385" s="3" t="s">
        <v>94</v>
      </c>
      <c r="K2385" s="5"/>
    </row>
    <row r="2386">
      <c r="A2386" s="3" t="s">
        <v>1057</v>
      </c>
      <c r="B2386" s="3" t="s">
        <v>1333</v>
      </c>
      <c r="C2386" s="3" t="s">
        <v>2564</v>
      </c>
      <c r="D2386" s="4" t="str">
        <f>HYPERLINK("https://12go.asia/en/travel/shangqiu/chongqing-north", "12Go Link")</f>
        <v>12Go Link</v>
      </c>
      <c r="E2386" s="3" t="s">
        <v>94</v>
      </c>
      <c r="K2386" s="5"/>
    </row>
    <row r="2387">
      <c r="A2387" s="3" t="s">
        <v>1057</v>
      </c>
      <c r="B2387" s="3" t="s">
        <v>1333</v>
      </c>
      <c r="C2387" s="3" t="s">
        <v>2565</v>
      </c>
      <c r="D2387" s="4" t="str">
        <f>HYPERLINK("https://12go.asia/en/travel/shangqiu/chongqing-west", "12Go Link")</f>
        <v>12Go Link</v>
      </c>
      <c r="E2387" s="3" t="s">
        <v>94</v>
      </c>
      <c r="K2387" s="5"/>
    </row>
    <row r="2388">
      <c r="A2388" s="3" t="s">
        <v>1057</v>
      </c>
      <c r="B2388" s="3" t="s">
        <v>851</v>
      </c>
      <c r="C2388" s="3" t="s">
        <v>2566</v>
      </c>
      <c r="D2388" s="4" t="str">
        <f>HYPERLINK("https://12go.asia/en/travel/shangqiu/guangxi", "12Go Link")</f>
        <v>12Go Link</v>
      </c>
      <c r="E2388" s="3" t="s">
        <v>94</v>
      </c>
      <c r="K2388" s="5"/>
    </row>
    <row r="2389">
      <c r="A2389" s="3" t="s">
        <v>1057</v>
      </c>
      <c r="B2389" s="3" t="s">
        <v>755</v>
      </c>
      <c r="C2389" s="3" t="s">
        <v>2567</v>
      </c>
      <c r="D2389" s="4" t="str">
        <f>HYPERLINK("https://12go.asia/en/travel/shangqiu/hangzhou-west", "12Go Link")</f>
        <v>12Go Link</v>
      </c>
      <c r="E2389" s="3" t="s">
        <v>94</v>
      </c>
      <c r="K2389" s="5"/>
    </row>
    <row r="2390">
      <c r="A2390" s="3" t="s">
        <v>1057</v>
      </c>
      <c r="B2390" s="3" t="s">
        <v>530</v>
      </c>
      <c r="C2390" s="3" t="s">
        <v>2568</v>
      </c>
      <c r="D2390" s="4" t="str">
        <f>HYPERLINK("https://12go.asia/en/travel/shangqiu/hebei", "12Go Link")</f>
        <v>12Go Link</v>
      </c>
      <c r="E2390" s="3" t="s">
        <v>94</v>
      </c>
      <c r="K2390" s="5"/>
    </row>
    <row r="2391">
      <c r="A2391" s="3" t="s">
        <v>1057</v>
      </c>
      <c r="B2391" s="3" t="s">
        <v>1081</v>
      </c>
      <c r="C2391" s="3" t="s">
        <v>2569</v>
      </c>
      <c r="D2391" s="4" t="str">
        <f>HYPERLINK("https://12go.asia/en/travel/shangqiu-south/hefei", "12Go Link")</f>
        <v>12Go Link</v>
      </c>
      <c r="E2391" s="3" t="s">
        <v>94</v>
      </c>
      <c r="K2391" s="5"/>
    </row>
    <row r="2392">
      <c r="A2392" s="3" t="s">
        <v>1057</v>
      </c>
      <c r="B2392" s="3" t="s">
        <v>1081</v>
      </c>
      <c r="C2392" s="3" t="s">
        <v>2570</v>
      </c>
      <c r="D2392" s="4" t="str">
        <f>HYPERLINK("https://12go.asia/en/travel/shangqiu/hefei", "12Go Link")</f>
        <v>12Go Link</v>
      </c>
      <c r="E2392" s="3" t="s">
        <v>94</v>
      </c>
      <c r="K2392" s="5"/>
    </row>
    <row r="2393">
      <c r="A2393" s="3" t="s">
        <v>1057</v>
      </c>
      <c r="B2393" s="3" t="s">
        <v>1081</v>
      </c>
      <c r="C2393" s="3" t="s">
        <v>2571</v>
      </c>
      <c r="D2393" s="4" t="str">
        <f>HYPERLINK("https://12go.asia/en/travel/shangqiu/hefei-south", "12Go Link")</f>
        <v>12Go Link</v>
      </c>
      <c r="E2393" s="3" t="s">
        <v>94</v>
      </c>
      <c r="K2393" s="5"/>
    </row>
    <row r="2394">
      <c r="A2394" s="3" t="s">
        <v>1057</v>
      </c>
      <c r="B2394" s="3" t="s">
        <v>532</v>
      </c>
      <c r="C2394" s="3" t="s">
        <v>2572</v>
      </c>
      <c r="D2394" s="4" t="str">
        <f>HYPERLINK("https://12go.asia/en/travel/shangqiu/heilongjiang", "12Go Link")</f>
        <v>12Go Link</v>
      </c>
      <c r="E2394" s="3" t="s">
        <v>94</v>
      </c>
      <c r="K2394" s="5"/>
    </row>
    <row r="2395">
      <c r="A2395" s="3" t="s">
        <v>1057</v>
      </c>
      <c r="B2395" s="3" t="s">
        <v>1033</v>
      </c>
      <c r="C2395" s="3" t="s">
        <v>2573</v>
      </c>
      <c r="D2395" s="4" t="str">
        <f>HYPERLINK("https://12go.asia/en/travel/shangqiu/henan", "12Go Link")</f>
        <v>12Go Link</v>
      </c>
      <c r="E2395" s="3" t="s">
        <v>94</v>
      </c>
      <c r="K2395" s="5"/>
    </row>
    <row r="2396">
      <c r="A2396" s="3" t="s">
        <v>1057</v>
      </c>
      <c r="B2396" s="3" t="s">
        <v>1905</v>
      </c>
      <c r="C2396" s="3" t="s">
        <v>2574</v>
      </c>
      <c r="D2396" s="4" t="str">
        <f>HYPERLINK("https://12go.asia/en/travel/shangqiu/huangshan", "12Go Link")</f>
        <v>12Go Link</v>
      </c>
      <c r="E2396" s="3" t="s">
        <v>94</v>
      </c>
      <c r="K2396" s="5"/>
    </row>
    <row r="2397">
      <c r="A2397" s="3" t="s">
        <v>1057</v>
      </c>
      <c r="B2397" s="3" t="s">
        <v>1905</v>
      </c>
      <c r="C2397" s="3" t="s">
        <v>2575</v>
      </c>
      <c r="D2397" s="4" t="str">
        <f>HYPERLINK("https://12go.asia/en/travel/shangqiu/huangshan-north", "12Go Link")</f>
        <v>12Go Link</v>
      </c>
      <c r="E2397" s="3" t="s">
        <v>94</v>
      </c>
      <c r="K2397" s="5"/>
    </row>
    <row r="2398">
      <c r="A2398" s="3" t="s">
        <v>1057</v>
      </c>
      <c r="B2398" s="3" t="s">
        <v>534</v>
      </c>
      <c r="C2398" s="3" t="s">
        <v>2576</v>
      </c>
      <c r="D2398" s="4" t="str">
        <f>HYPERLINK("https://12go.asia/en/travel/shangqiu/hubei", "12Go Link")</f>
        <v>12Go Link</v>
      </c>
      <c r="E2398" s="3" t="s">
        <v>94</v>
      </c>
      <c r="K2398" s="5"/>
    </row>
    <row r="2399">
      <c r="A2399" s="3" t="s">
        <v>1057</v>
      </c>
      <c r="B2399" s="3" t="s">
        <v>536</v>
      </c>
      <c r="C2399" s="3" t="s">
        <v>2577</v>
      </c>
      <c r="D2399" s="4" t="str">
        <f>HYPERLINK("https://12go.asia/en/travel/shangqiu/hunan", "12Go Link")</f>
        <v>12Go Link</v>
      </c>
      <c r="E2399" s="3" t="s">
        <v>94</v>
      </c>
      <c r="K2399" s="5"/>
    </row>
    <row r="2400">
      <c r="A2400" s="3" t="s">
        <v>1057</v>
      </c>
      <c r="B2400" s="3" t="s">
        <v>643</v>
      </c>
      <c r="C2400" s="3" t="s">
        <v>2578</v>
      </c>
      <c r="D2400" s="4" t="str">
        <f>HYPERLINK("https://12go.asia/en/travel/shangqiu/jiangning", "12Go Link")</f>
        <v>12Go Link</v>
      </c>
      <c r="E2400" s="3" t="s">
        <v>94</v>
      </c>
      <c r="K2400" s="5"/>
    </row>
    <row r="2401">
      <c r="A2401" s="3" t="s">
        <v>1057</v>
      </c>
      <c r="B2401" s="3" t="s">
        <v>538</v>
      </c>
      <c r="C2401" s="3" t="s">
        <v>2579</v>
      </c>
      <c r="D2401" s="4" t="str">
        <f>HYPERLINK("https://12go.asia/en/travel/shangqiu/jiangxi", "12Go Link")</f>
        <v>12Go Link</v>
      </c>
      <c r="E2401" s="3" t="s">
        <v>94</v>
      </c>
      <c r="K2401" s="5"/>
    </row>
    <row r="2402">
      <c r="A2402" s="3" t="s">
        <v>1057</v>
      </c>
      <c r="B2402" s="3" t="s">
        <v>540</v>
      </c>
      <c r="C2402" s="3" t="s">
        <v>2580</v>
      </c>
      <c r="D2402" s="4" t="str">
        <f>HYPERLINK("https://12go.asia/en/travel/shangqiu/jiangzhou", "12Go Link")</f>
        <v>12Go Link</v>
      </c>
      <c r="E2402" s="3" t="s">
        <v>94</v>
      </c>
      <c r="K2402" s="5"/>
    </row>
    <row r="2403">
      <c r="A2403" s="3" t="s">
        <v>1057</v>
      </c>
      <c r="B2403" s="3" t="s">
        <v>542</v>
      </c>
      <c r="C2403" s="3" t="s">
        <v>2581</v>
      </c>
      <c r="D2403" s="4" t="str">
        <f>HYPERLINK("https://12go.asia/en/travel/shangqiu/jiaocheng", "12Go Link")</f>
        <v>12Go Link</v>
      </c>
      <c r="E2403" s="3" t="s">
        <v>94</v>
      </c>
      <c r="K2403" s="5"/>
    </row>
    <row r="2404">
      <c r="A2404" s="3" t="s">
        <v>1057</v>
      </c>
      <c r="B2404" s="3" t="s">
        <v>655</v>
      </c>
      <c r="C2404" s="3" t="s">
        <v>2582</v>
      </c>
      <c r="D2404" s="4" t="str">
        <f>HYPERLINK("https://12go.asia/en/travel/shangqiu/jiaxiang", "12Go Link")</f>
        <v>12Go Link</v>
      </c>
      <c r="E2404" s="3" t="s">
        <v>94</v>
      </c>
      <c r="K2404" s="5"/>
    </row>
    <row r="2405">
      <c r="A2405" s="3" t="s">
        <v>1057</v>
      </c>
      <c r="B2405" s="3" t="s">
        <v>679</v>
      </c>
      <c r="C2405" s="3" t="s">
        <v>2583</v>
      </c>
      <c r="D2405" s="4" t="str">
        <f>HYPERLINK("https://12go.asia/en/travel/shangqiu/mingxi", "12Go Link")</f>
        <v>12Go Link</v>
      </c>
      <c r="E2405" s="3" t="s">
        <v>94</v>
      </c>
      <c r="K2405" s="5"/>
    </row>
    <row r="2406">
      <c r="A2406" s="3" t="s">
        <v>1057</v>
      </c>
      <c r="B2406" s="3" t="s">
        <v>874</v>
      </c>
      <c r="C2406" s="3" t="s">
        <v>2584</v>
      </c>
      <c r="D2406" s="4" t="str">
        <f>HYPERLINK("https://12go.asia/en/travel/shangqiu-south/nanchang", "12Go Link")</f>
        <v>12Go Link</v>
      </c>
      <c r="E2406" s="3" t="s">
        <v>94</v>
      </c>
      <c r="K2406" s="5"/>
    </row>
    <row r="2407">
      <c r="A2407" s="3" t="s">
        <v>1057</v>
      </c>
      <c r="B2407" s="3" t="s">
        <v>874</v>
      </c>
      <c r="C2407" s="3" t="s">
        <v>2585</v>
      </c>
      <c r="D2407" s="4" t="str">
        <f>HYPERLINK("https://12go.asia/en/travel/shangqiu/nanchang", "12Go Link")</f>
        <v>12Go Link</v>
      </c>
      <c r="E2407" s="3" t="s">
        <v>94</v>
      </c>
      <c r="K2407" s="5"/>
    </row>
    <row r="2408">
      <c r="A2408" s="3" t="s">
        <v>1057</v>
      </c>
      <c r="B2408" s="3" t="s">
        <v>874</v>
      </c>
      <c r="C2408" s="3" t="s">
        <v>2586</v>
      </c>
      <c r="D2408" s="4" t="str">
        <f>HYPERLINK("https://12go.asia/en/travel/shangqiu/nanchang-west", "12Go Link")</f>
        <v>12Go Link</v>
      </c>
      <c r="E2408" s="3" t="s">
        <v>94</v>
      </c>
      <c r="K2408" s="5"/>
    </row>
    <row r="2409">
      <c r="A2409" s="3" t="s">
        <v>1057</v>
      </c>
      <c r="B2409" s="3" t="s">
        <v>1612</v>
      </c>
      <c r="C2409" s="3" t="s">
        <v>2587</v>
      </c>
      <c r="D2409" s="4" t="str">
        <f>HYPERLINK("https://12go.asia/en/travel/shangqiu/ningbo", "12Go Link")</f>
        <v>12Go Link</v>
      </c>
      <c r="E2409" s="3" t="s">
        <v>94</v>
      </c>
      <c r="K2409" s="5"/>
    </row>
    <row r="2410">
      <c r="A2410" s="3" t="s">
        <v>1057</v>
      </c>
      <c r="B2410" s="3" t="s">
        <v>550</v>
      </c>
      <c r="C2410" s="3" t="s">
        <v>2588</v>
      </c>
      <c r="D2410" s="4" t="str">
        <f>HYPERLINK("https://12go.asia/en/travel/shangqiu/saihan", "12Go Link")</f>
        <v>12Go Link</v>
      </c>
      <c r="E2410" s="3" t="s">
        <v>94</v>
      </c>
      <c r="K2410" s="5"/>
    </row>
    <row r="2411">
      <c r="A2411" s="3" t="s">
        <v>1057</v>
      </c>
      <c r="B2411" s="3" t="s">
        <v>552</v>
      </c>
      <c r="C2411" s="3" t="s">
        <v>2589</v>
      </c>
      <c r="D2411" s="4" t="str">
        <f>HYPERLINK("https://12go.asia/en/travel/shangqiu/shaanxi", "12Go Link")</f>
        <v>12Go Link</v>
      </c>
      <c r="E2411" s="3" t="s">
        <v>94</v>
      </c>
      <c r="K2411" s="5"/>
    </row>
    <row r="2412">
      <c r="A2412" s="3" t="s">
        <v>1057</v>
      </c>
      <c r="B2412" s="3" t="s">
        <v>560</v>
      </c>
      <c r="C2412" s="3" t="s">
        <v>2590</v>
      </c>
      <c r="D2412" s="4" t="str">
        <f>HYPERLINK("https://12go.asia/en/travel/shangqiu/shuangliu", "12Go Link")</f>
        <v>12Go Link</v>
      </c>
      <c r="E2412" s="3" t="s">
        <v>94</v>
      </c>
      <c r="K2412" s="5"/>
    </row>
    <row r="2413">
      <c r="A2413" s="3" t="s">
        <v>1057</v>
      </c>
      <c r="B2413" s="3" t="s">
        <v>562</v>
      </c>
      <c r="C2413" s="3" t="s">
        <v>2591</v>
      </c>
      <c r="D2413" s="4" t="str">
        <f>HYPERLINK("https://12go.asia/en/travel/shangqiu/sichuan", "12Go Link")</f>
        <v>12Go Link</v>
      </c>
      <c r="E2413" s="3" t="s">
        <v>94</v>
      </c>
      <c r="K2413" s="5"/>
    </row>
    <row r="2414">
      <c r="A2414" s="3" t="s">
        <v>1057</v>
      </c>
      <c r="B2414" s="3" t="s">
        <v>1627</v>
      </c>
      <c r="C2414" s="3" t="s">
        <v>2592</v>
      </c>
      <c r="D2414" s="4" t="str">
        <f>HYPERLINK("https://12go.asia/en/travel/shangqiu/taizhou-jiangsu", "12Go Link")</f>
        <v>12Go Link</v>
      </c>
      <c r="E2414" s="3" t="s">
        <v>94</v>
      </c>
      <c r="K2414" s="5"/>
    </row>
    <row r="2415">
      <c r="A2415" s="3" t="s">
        <v>1057</v>
      </c>
      <c r="B2415" s="3" t="s">
        <v>564</v>
      </c>
      <c r="C2415" s="3" t="s">
        <v>2593</v>
      </c>
      <c r="D2415" s="4" t="str">
        <f>HYPERLINK("https://12go.asia/en/travel/shangqiu/tianxin", "12Go Link")</f>
        <v>12Go Link</v>
      </c>
      <c r="E2415" s="3" t="s">
        <v>94</v>
      </c>
      <c r="K2415" s="5"/>
    </row>
    <row r="2416">
      <c r="A2416" s="3" t="s">
        <v>1057</v>
      </c>
      <c r="B2416" s="3" t="s">
        <v>2594</v>
      </c>
      <c r="C2416" s="3" t="s">
        <v>2595</v>
      </c>
      <c r="D2416" s="4" t="str">
        <f>HYPERLINK("https://12go.asia/en/travel/shangqiu/tongling", "12Go Link")</f>
        <v>12Go Link</v>
      </c>
      <c r="E2416" s="3" t="s">
        <v>94</v>
      </c>
      <c r="K2416" s="5"/>
    </row>
    <row r="2417">
      <c r="A2417" s="3" t="s">
        <v>1057</v>
      </c>
      <c r="B2417" s="3" t="s">
        <v>703</v>
      </c>
      <c r="C2417" s="3" t="s">
        <v>2596</v>
      </c>
      <c r="D2417" s="4" t="str">
        <f>HYPERLINK("https://12go.asia/en/travel/shangqiu/tulufan", "12Go Link")</f>
        <v>12Go Link</v>
      </c>
      <c r="E2417" s="3" t="s">
        <v>94</v>
      </c>
      <c r="K2417" s="5"/>
    </row>
    <row r="2418">
      <c r="A2418" s="3" t="s">
        <v>1057</v>
      </c>
      <c r="B2418" s="3" t="s">
        <v>703</v>
      </c>
      <c r="C2418" s="3" t="s">
        <v>2597</v>
      </c>
      <c r="D2418" s="4" t="str">
        <f>HYPERLINK("https://12go.asia/en/travel/shangqiu/turpan", "12Go Link")</f>
        <v>12Go Link</v>
      </c>
      <c r="E2418" s="3" t="s">
        <v>94</v>
      </c>
      <c r="K2418" s="5"/>
    </row>
    <row r="2419">
      <c r="A2419" s="3" t="s">
        <v>1057</v>
      </c>
      <c r="B2419" s="3" t="s">
        <v>703</v>
      </c>
      <c r="C2419" s="3" t="s">
        <v>2598</v>
      </c>
      <c r="D2419" s="4" t="str">
        <f>HYPERLINK("https://12go.asia/en/travel/shangqiu/turpan-north", "12Go Link")</f>
        <v>12Go Link</v>
      </c>
      <c r="E2419" s="3" t="s">
        <v>94</v>
      </c>
      <c r="K2419" s="5"/>
    </row>
    <row r="2420">
      <c r="A2420" s="3" t="s">
        <v>1057</v>
      </c>
      <c r="B2420" s="3" t="s">
        <v>1995</v>
      </c>
      <c r="C2420" s="3" t="s">
        <v>2599</v>
      </c>
      <c r="D2420" s="4" t="str">
        <f>HYPERLINK("https://12go.asia/en/travel/shangqiu/urumqi", "12Go Link")</f>
        <v>12Go Link</v>
      </c>
      <c r="E2420" s="3" t="s">
        <v>94</v>
      </c>
      <c r="K2420" s="5"/>
    </row>
    <row r="2421">
      <c r="A2421" s="3" t="s">
        <v>1057</v>
      </c>
      <c r="B2421" s="3" t="s">
        <v>566</v>
      </c>
      <c r="C2421" s="3" t="s">
        <v>2600</v>
      </c>
      <c r="D2421" s="4" t="str">
        <f>HYPERLINK("https://12go.asia/en/travel/shangqiu/wenjiang", "12Go Link")</f>
        <v>12Go Link</v>
      </c>
      <c r="E2421" s="3" t="s">
        <v>94</v>
      </c>
      <c r="K2421" s="5"/>
    </row>
    <row r="2422">
      <c r="A2422" s="3" t="s">
        <v>1057</v>
      </c>
      <c r="B2422" s="3" t="s">
        <v>798</v>
      </c>
      <c r="C2422" s="3" t="s">
        <v>2601</v>
      </c>
      <c r="D2422" s="4" t="str">
        <f>HYPERLINK("https://12go.asia/en/travel/shangqiu/wuxi", "12Go Link")</f>
        <v>12Go Link</v>
      </c>
      <c r="E2422" s="3" t="s">
        <v>94</v>
      </c>
      <c r="K2422" s="5"/>
    </row>
    <row r="2423">
      <c r="A2423" s="3" t="s">
        <v>1057</v>
      </c>
      <c r="B2423" s="3" t="s">
        <v>798</v>
      </c>
      <c r="C2423" s="3" t="s">
        <v>2602</v>
      </c>
      <c r="D2423" s="4" t="str">
        <f>HYPERLINK("https://12go.asia/en/travel/shangqiu/wuxi-east", "12Go Link")</f>
        <v>12Go Link</v>
      </c>
      <c r="E2423" s="3" t="s">
        <v>94</v>
      </c>
      <c r="K2423" s="5"/>
    </row>
    <row r="2424">
      <c r="A2424" s="3" t="s">
        <v>1057</v>
      </c>
      <c r="B2424" s="3" t="s">
        <v>798</v>
      </c>
      <c r="C2424" s="3" t="s">
        <v>2603</v>
      </c>
      <c r="D2424" s="4" t="str">
        <f>HYPERLINK("https://12go.asia/en/travel/shangqiu/wuxi-jiangsu", "12Go Link")</f>
        <v>12Go Link</v>
      </c>
      <c r="E2424" s="3" t="s">
        <v>94</v>
      </c>
      <c r="K2424" s="5"/>
    </row>
    <row r="2425">
      <c r="A2425" s="3" t="s">
        <v>1057</v>
      </c>
      <c r="B2425" s="3" t="s">
        <v>1403</v>
      </c>
      <c r="C2425" s="3" t="s">
        <v>2604</v>
      </c>
      <c r="D2425" s="4" t="str">
        <f>HYPERLINK("https://12go.asia/en/travel/shangqiu-south/xiamen-north", "12Go Link")</f>
        <v>12Go Link</v>
      </c>
      <c r="E2425" s="3" t="s">
        <v>94</v>
      </c>
      <c r="K2425" s="5"/>
    </row>
    <row r="2426">
      <c r="A2426" s="3" t="s">
        <v>1057</v>
      </c>
      <c r="B2426" s="3" t="s">
        <v>1403</v>
      </c>
      <c r="C2426" s="3" t="s">
        <v>2605</v>
      </c>
      <c r="D2426" s="4" t="str">
        <f>HYPERLINK("https://12go.asia/en/travel/shangqiu/xiamen", "12Go Link")</f>
        <v>12Go Link</v>
      </c>
      <c r="E2426" s="3" t="s">
        <v>94</v>
      </c>
      <c r="K2426" s="5"/>
    </row>
    <row r="2427">
      <c r="A2427" s="3" t="s">
        <v>1057</v>
      </c>
      <c r="B2427" s="3" t="s">
        <v>1403</v>
      </c>
      <c r="C2427" s="3" t="s">
        <v>2606</v>
      </c>
      <c r="D2427" s="4" t="str">
        <f>HYPERLINK("https://12go.asia/en/travel/shangqiu/xiamen-north", "12Go Link")</f>
        <v>12Go Link</v>
      </c>
      <c r="E2427" s="3" t="s">
        <v>94</v>
      </c>
      <c r="K2427" s="5"/>
    </row>
    <row r="2428">
      <c r="A2428" s="3" t="s">
        <v>1057</v>
      </c>
      <c r="B2428" s="3" t="s">
        <v>712</v>
      </c>
      <c r="C2428" s="3" t="s">
        <v>2607</v>
      </c>
      <c r="D2428" s="4" t="str">
        <f>HYPERLINK("https://12go.asia/en/travel/shangqiu/xihu", "12Go Link")</f>
        <v>12Go Link</v>
      </c>
      <c r="E2428" s="3" t="s">
        <v>94</v>
      </c>
      <c r="K2428" s="5"/>
    </row>
    <row r="2429">
      <c r="A2429" s="3" t="s">
        <v>1057</v>
      </c>
      <c r="B2429" s="3" t="s">
        <v>1900</v>
      </c>
      <c r="C2429" s="3" t="s">
        <v>2608</v>
      </c>
      <c r="D2429" s="4" t="str">
        <f>HYPERLINK("https://12go.asia/en/travel/shangqiu/xinjiang", "12Go Link")</f>
        <v>12Go Link</v>
      </c>
      <c r="E2429" s="3" t="s">
        <v>94</v>
      </c>
      <c r="K2429" s="5"/>
    </row>
    <row r="2430">
      <c r="A2430" s="3" t="s">
        <v>1057</v>
      </c>
      <c r="B2430" s="3" t="s">
        <v>806</v>
      </c>
      <c r="C2430" s="3" t="s">
        <v>2609</v>
      </c>
      <c r="D2430" s="4" t="str">
        <f>HYPERLINK("https://12go.asia/en/travel/shangqiu/xinyang", "12Go Link")</f>
        <v>12Go Link</v>
      </c>
      <c r="E2430" s="3" t="s">
        <v>94</v>
      </c>
      <c r="K2430" s="5"/>
    </row>
    <row r="2431">
      <c r="A2431" s="3" t="s">
        <v>1057</v>
      </c>
      <c r="B2431" s="3" t="s">
        <v>806</v>
      </c>
      <c r="C2431" s="3" t="s">
        <v>2610</v>
      </c>
      <c r="D2431" s="4" t="str">
        <f>HYPERLINK("https://12go.asia/en/travel/shangqiu/xinyang-east", "12Go Link")</f>
        <v>12Go Link</v>
      </c>
      <c r="E2431" s="3" t="s">
        <v>94</v>
      </c>
      <c r="K2431" s="5"/>
    </row>
    <row r="2432">
      <c r="A2432" s="3" t="s">
        <v>1057</v>
      </c>
      <c r="B2432" s="3" t="s">
        <v>716</v>
      </c>
      <c r="C2432" s="3" t="s">
        <v>2611</v>
      </c>
      <c r="D2432" s="4" t="str">
        <f>HYPERLINK("https://12go.asia/en/travel/shangqiu/langxi-south", "12Go Link")</f>
        <v>12Go Link</v>
      </c>
      <c r="E2432" s="3" t="s">
        <v>94</v>
      </c>
      <c r="K2432" s="5"/>
    </row>
    <row r="2433">
      <c r="A2433" s="3" t="s">
        <v>1057</v>
      </c>
      <c r="B2433" s="3" t="s">
        <v>716</v>
      </c>
      <c r="C2433" s="3" t="s">
        <v>2612</v>
      </c>
      <c r="D2433" s="4" t="str">
        <f>HYPERLINK("https://12go.asia/en/travel/shangqiu/xuanzhou", "12Go Link")</f>
        <v>12Go Link</v>
      </c>
      <c r="E2433" s="3" t="s">
        <v>94</v>
      </c>
      <c r="K2433" s="5"/>
    </row>
    <row r="2434">
      <c r="A2434" s="3" t="s">
        <v>1057</v>
      </c>
      <c r="B2434" s="3" t="s">
        <v>577</v>
      </c>
      <c r="C2434" s="3" t="s">
        <v>2613</v>
      </c>
      <c r="D2434" s="4" t="str">
        <f>HYPERLINK("https://12go.asia/en/travel/shangqiu/xunxian", "12Go Link")</f>
        <v>12Go Link</v>
      </c>
      <c r="E2434" s="3" t="s">
        <v>94</v>
      </c>
      <c r="K2434" s="5"/>
    </row>
    <row r="2435">
      <c r="A2435" s="3" t="s">
        <v>1057</v>
      </c>
      <c r="B2435" s="3" t="s">
        <v>895</v>
      </c>
      <c r="C2435" s="3" t="s">
        <v>2614</v>
      </c>
      <c r="D2435" s="4" t="str">
        <f>HYPERLINK("https://12go.asia/en/travel/shangqiu-south/yancheng", "12Go Link")</f>
        <v>12Go Link</v>
      </c>
      <c r="E2435" s="3" t="s">
        <v>94</v>
      </c>
      <c r="K2435" s="5"/>
    </row>
    <row r="2436">
      <c r="A2436" s="3" t="s">
        <v>1057</v>
      </c>
      <c r="B2436" s="3" t="s">
        <v>895</v>
      </c>
      <c r="C2436" s="3" t="s">
        <v>2615</v>
      </c>
      <c r="D2436" s="4" t="str">
        <f>HYPERLINK("https://12go.asia/en/travel/shangqiu/yancheng", "12Go Link")</f>
        <v>12Go Link</v>
      </c>
      <c r="E2436" s="3" t="s">
        <v>94</v>
      </c>
      <c r="K2436" s="5"/>
    </row>
    <row r="2437">
      <c r="A2437" s="3" t="s">
        <v>1057</v>
      </c>
      <c r="B2437" s="3" t="s">
        <v>816</v>
      </c>
      <c r="C2437" s="3" t="s">
        <v>2616</v>
      </c>
      <c r="D2437" s="4" t="str">
        <f>HYPERLINK("https://12go.asia/en/travel/shangqiu/yiwu", "12Go Link")</f>
        <v>12Go Link</v>
      </c>
      <c r="E2437" s="3" t="s">
        <v>94</v>
      </c>
      <c r="K2437" s="5"/>
    </row>
    <row r="2438">
      <c r="A2438" s="3" t="s">
        <v>1057</v>
      </c>
      <c r="B2438" s="3" t="s">
        <v>1021</v>
      </c>
      <c r="C2438" s="3" t="s">
        <v>2617</v>
      </c>
      <c r="D2438" s="4" t="str">
        <f>HYPERLINK("https://12go.asia/en/travel/shangqiu/zhejiang", "12Go Link")</f>
        <v>12Go Link</v>
      </c>
      <c r="E2438" s="3" t="s">
        <v>94</v>
      </c>
      <c r="K2438" s="5"/>
    </row>
    <row r="2439">
      <c r="A2439" s="3" t="s">
        <v>1057</v>
      </c>
      <c r="B2439" s="3" t="s">
        <v>585</v>
      </c>
      <c r="C2439" s="3" t="s">
        <v>2618</v>
      </c>
      <c r="D2439" s="4" t="str">
        <f>HYPERLINK("https://12go.asia/en/travel/shangqiu/zhengzhou-hangkonggang", "12Go Link")</f>
        <v>12Go Link</v>
      </c>
      <c r="E2439" s="3" t="s">
        <v>94</v>
      </c>
      <c r="K2439" s="5"/>
    </row>
    <row r="2440">
      <c r="A2440" s="3" t="s">
        <v>692</v>
      </c>
      <c r="B2440" s="3" t="s">
        <v>1079</v>
      </c>
      <c r="C2440" s="3" t="s">
        <v>2619</v>
      </c>
      <c r="D2440" s="4" t="str">
        <f>HYPERLINK("https://12go.asia/en/travel/shangrao/anhui", "12Go Link")</f>
        <v>12Go Link</v>
      </c>
      <c r="E2440" s="3" t="s">
        <v>94</v>
      </c>
      <c r="K2440" s="5"/>
    </row>
    <row r="2441">
      <c r="A2441" s="3" t="s">
        <v>692</v>
      </c>
      <c r="B2441" s="3" t="s">
        <v>1129</v>
      </c>
      <c r="C2441" s="3" t="s">
        <v>2620</v>
      </c>
      <c r="D2441" s="4" t="str">
        <f>HYPERLINK("https://12go.asia/en/travel/shangrao/funing", "12Go Link")</f>
        <v>12Go Link</v>
      </c>
      <c r="E2441" s="3" t="s">
        <v>94</v>
      </c>
      <c r="K2441" s="5"/>
    </row>
    <row r="2442">
      <c r="A2442" s="3" t="s">
        <v>692</v>
      </c>
      <c r="B2442" s="3" t="s">
        <v>524</v>
      </c>
      <c r="C2442" s="3" t="s">
        <v>2621</v>
      </c>
      <c r="D2442" s="4" t="str">
        <f>HYPERLINK("https://12go.asia/en/travel/shangrao/guzhang", "12Go Link")</f>
        <v>12Go Link</v>
      </c>
      <c r="E2442" s="3" t="s">
        <v>94</v>
      </c>
      <c r="K2442" s="5"/>
    </row>
    <row r="2443">
      <c r="A2443" s="3" t="s">
        <v>692</v>
      </c>
      <c r="B2443" s="3" t="s">
        <v>755</v>
      </c>
      <c r="C2443" s="3" t="s">
        <v>2622</v>
      </c>
      <c r="D2443" s="4" t="str">
        <f>HYPERLINK("https://12go.asia/en/travel/shangrao/hangzhou-west", "12Go Link")</f>
        <v>12Go Link</v>
      </c>
      <c r="E2443" s="3" t="s">
        <v>94</v>
      </c>
      <c r="K2443" s="5"/>
    </row>
    <row r="2444">
      <c r="A2444" s="3" t="s">
        <v>692</v>
      </c>
      <c r="B2444" s="3" t="s">
        <v>942</v>
      </c>
      <c r="C2444" s="3" t="s">
        <v>2623</v>
      </c>
      <c r="D2444" s="4" t="str">
        <f>HYPERLINK("https://12go.asia/en/travel/shangrao/furongzhen", "12Go Link")</f>
        <v>12Go Link</v>
      </c>
      <c r="E2444" s="3" t="s">
        <v>94</v>
      </c>
      <c r="K2444" s="5"/>
    </row>
    <row r="2445">
      <c r="A2445" s="3" t="s">
        <v>692</v>
      </c>
      <c r="B2445" s="3" t="s">
        <v>942</v>
      </c>
      <c r="C2445" s="3" t="s">
        <v>2624</v>
      </c>
      <c r="D2445" s="4" t="str">
        <f>HYPERLINK("https://12go.asia/en/travel/shangrao/hedong", "12Go Link")</f>
        <v>12Go Link</v>
      </c>
      <c r="E2445" s="3" t="s">
        <v>94</v>
      </c>
      <c r="K2445" s="5"/>
    </row>
    <row r="2446">
      <c r="A2446" s="3" t="s">
        <v>692</v>
      </c>
      <c r="B2446" s="3" t="s">
        <v>632</v>
      </c>
      <c r="C2446" s="3" t="s">
        <v>2625</v>
      </c>
      <c r="D2446" s="4" t="str">
        <f>HYPERLINK("https://12go.asia/en/travel/shangrao/guangzhoubaiyun", "12Go Link")</f>
        <v>12Go Link</v>
      </c>
      <c r="E2446" s="3" t="s">
        <v>94</v>
      </c>
      <c r="K2446" s="5"/>
    </row>
    <row r="2447">
      <c r="A2447" s="3" t="s">
        <v>692</v>
      </c>
      <c r="B2447" s="3" t="s">
        <v>632</v>
      </c>
      <c r="C2447" s="3" t="s">
        <v>2626</v>
      </c>
      <c r="D2447" s="4" t="str">
        <f>HYPERLINK("https://12go.asia/en/travel/shangrao/huaxi", "12Go Link")</f>
        <v>12Go Link</v>
      </c>
      <c r="E2447" s="3" t="s">
        <v>94</v>
      </c>
      <c r="K2447" s="5"/>
    </row>
    <row r="2448">
      <c r="A2448" s="3" t="s">
        <v>692</v>
      </c>
      <c r="B2448" s="3" t="s">
        <v>957</v>
      </c>
      <c r="C2448" s="3" t="s">
        <v>2627</v>
      </c>
      <c r="D2448" s="4" t="str">
        <f>HYPERLINK("https://12go.asia/en/travel/shangrao/huiyang", "12Go Link")</f>
        <v>12Go Link</v>
      </c>
      <c r="E2448" s="3" t="s">
        <v>94</v>
      </c>
      <c r="K2448" s="5"/>
    </row>
    <row r="2449">
      <c r="A2449" s="3" t="s">
        <v>692</v>
      </c>
      <c r="B2449" s="3" t="s">
        <v>957</v>
      </c>
      <c r="C2449" s="3" t="s">
        <v>2628</v>
      </c>
      <c r="D2449" s="4" t="str">
        <f>HYPERLINK("https://12go.asia/en/travel/shangrao/huiyang-district", "12Go Link")</f>
        <v>12Go Link</v>
      </c>
      <c r="E2449" s="3" t="s">
        <v>94</v>
      </c>
      <c r="K2449" s="5"/>
    </row>
    <row r="2450">
      <c r="A2450" s="3" t="s">
        <v>692</v>
      </c>
      <c r="B2450" s="3" t="s">
        <v>1822</v>
      </c>
      <c r="C2450" s="3" t="s">
        <v>2629</v>
      </c>
      <c r="D2450" s="4" t="str">
        <f>HYPERLINK("https://12go.asia/en/travel/shangrao/huizhou", "12Go Link")</f>
        <v>12Go Link</v>
      </c>
      <c r="E2450" s="3" t="s">
        <v>94</v>
      </c>
      <c r="K2450" s="5"/>
    </row>
    <row r="2451">
      <c r="A2451" s="3" t="s">
        <v>692</v>
      </c>
      <c r="B2451" s="3" t="s">
        <v>1822</v>
      </c>
      <c r="C2451" s="3" t="s">
        <v>2630</v>
      </c>
      <c r="D2451" s="4" t="str">
        <f>HYPERLINK("https://12go.asia/en/travel/shangrao/huizhou-north", "12Go Link")</f>
        <v>12Go Link</v>
      </c>
      <c r="E2451" s="3" t="s">
        <v>94</v>
      </c>
      <c r="K2451" s="5"/>
    </row>
    <row r="2452">
      <c r="A2452" s="3" t="s">
        <v>692</v>
      </c>
      <c r="B2452" s="3" t="s">
        <v>639</v>
      </c>
      <c r="C2452" s="3" t="s">
        <v>2631</v>
      </c>
      <c r="D2452" s="4" t="str">
        <f>HYPERLINK("https://12go.asia/en/travel/shangrao/jiangbei", "12Go Link")</f>
        <v>12Go Link</v>
      </c>
      <c r="E2452" s="3" t="s">
        <v>94</v>
      </c>
      <c r="K2452" s="5"/>
    </row>
    <row r="2453">
      <c r="A2453" s="3" t="s">
        <v>692</v>
      </c>
      <c r="B2453" s="3" t="s">
        <v>641</v>
      </c>
      <c r="C2453" s="3" t="s">
        <v>2632</v>
      </c>
      <c r="D2453" s="4" t="str">
        <f>HYPERLINK("https://12go.asia/en/travel/shangrao/jiangjin", "12Go Link")</f>
        <v>12Go Link</v>
      </c>
      <c r="E2453" s="3" t="s">
        <v>94</v>
      </c>
      <c r="K2453" s="5"/>
    </row>
    <row r="2454">
      <c r="A2454" s="3" t="s">
        <v>692</v>
      </c>
      <c r="B2454" s="3" t="s">
        <v>643</v>
      </c>
      <c r="C2454" s="3" t="s">
        <v>2633</v>
      </c>
      <c r="D2454" s="4" t="str">
        <f>HYPERLINK("https://12go.asia/en/travel/shangrao/jiangning", "12Go Link")</f>
        <v>12Go Link</v>
      </c>
      <c r="E2454" s="3" t="s">
        <v>94</v>
      </c>
      <c r="K2454" s="5"/>
    </row>
    <row r="2455">
      <c r="A2455" s="3" t="s">
        <v>692</v>
      </c>
      <c r="B2455" s="3" t="s">
        <v>645</v>
      </c>
      <c r="C2455" s="3" t="s">
        <v>2634</v>
      </c>
      <c r="D2455" s="4" t="str">
        <f>HYPERLINK("https://12go.asia/en/travel/shangrao/jiangxia", "12Go Link")</f>
        <v>12Go Link</v>
      </c>
      <c r="E2455" s="3" t="s">
        <v>94</v>
      </c>
      <c r="K2455" s="5"/>
    </row>
    <row r="2456">
      <c r="A2456" s="3" t="s">
        <v>692</v>
      </c>
      <c r="B2456" s="3" t="s">
        <v>647</v>
      </c>
      <c r="C2456" s="3" t="s">
        <v>2635</v>
      </c>
      <c r="D2456" s="4" t="str">
        <f>HYPERLINK("https://12go.asia/en/travel/shangrao/jiangyuan", "12Go Link")</f>
        <v>12Go Link</v>
      </c>
      <c r="E2456" s="3" t="s">
        <v>94</v>
      </c>
      <c r="K2456" s="5"/>
    </row>
    <row r="2457">
      <c r="A2457" s="3" t="s">
        <v>692</v>
      </c>
      <c r="B2457" s="3" t="s">
        <v>542</v>
      </c>
      <c r="C2457" s="3" t="s">
        <v>2636</v>
      </c>
      <c r="D2457" s="4" t="str">
        <f>HYPERLINK("https://12go.asia/en/travel/shangrao/jiaocheng", "12Go Link")</f>
        <v>12Go Link</v>
      </c>
      <c r="E2457" s="3" t="s">
        <v>94</v>
      </c>
      <c r="K2457" s="5"/>
    </row>
    <row r="2458">
      <c r="A2458" s="3" t="s">
        <v>692</v>
      </c>
      <c r="B2458" s="3" t="s">
        <v>1240</v>
      </c>
      <c r="C2458" s="3" t="s">
        <v>2637</v>
      </c>
      <c r="D2458" s="4" t="str">
        <f>HYPERLINK("https://12go.asia/en/travel/shangrao/jinan", "12Go Link")</f>
        <v>12Go Link</v>
      </c>
      <c r="E2458" s="3" t="s">
        <v>94</v>
      </c>
      <c r="K2458" s="5"/>
    </row>
    <row r="2459">
      <c r="A2459" s="3" t="s">
        <v>692</v>
      </c>
      <c r="B2459" s="3" t="s">
        <v>1105</v>
      </c>
      <c r="C2459" s="3" t="s">
        <v>2638</v>
      </c>
      <c r="D2459" s="4" t="str">
        <f>HYPERLINK("https://12go.asia/en/travel/shangrao/liaoning", "12Go Link")</f>
        <v>12Go Link</v>
      </c>
      <c r="E2459" s="3" t="s">
        <v>94</v>
      </c>
      <c r="K2459" s="5"/>
    </row>
    <row r="2460">
      <c r="A2460" s="3" t="s">
        <v>692</v>
      </c>
      <c r="B2460" s="3" t="s">
        <v>679</v>
      </c>
      <c r="C2460" s="3" t="s">
        <v>2639</v>
      </c>
      <c r="D2460" s="4" t="str">
        <f>HYPERLINK("https://12go.asia/en/travel/shangrao/mingxi", "12Go Link")</f>
        <v>12Go Link</v>
      </c>
      <c r="E2460" s="3" t="s">
        <v>94</v>
      </c>
      <c r="K2460" s="5"/>
    </row>
    <row r="2461">
      <c r="A2461" s="3" t="s">
        <v>692</v>
      </c>
      <c r="B2461" s="3" t="s">
        <v>1534</v>
      </c>
      <c r="C2461" s="3" t="s">
        <v>2640</v>
      </c>
      <c r="D2461" s="4" t="str">
        <f>HYPERLINK("https://12go.asia/en/travel/shangrao/nanning", "12Go Link")</f>
        <v>12Go Link</v>
      </c>
      <c r="E2461" s="3" t="s">
        <v>94</v>
      </c>
      <c r="K2461" s="5"/>
    </row>
    <row r="2462">
      <c r="A2462" s="3" t="s">
        <v>692</v>
      </c>
      <c r="B2462" s="3" t="s">
        <v>1534</v>
      </c>
      <c r="C2462" s="3" t="s">
        <v>2641</v>
      </c>
      <c r="D2462" s="4" t="str">
        <f>HYPERLINK("https://12go.asia/en/travel/shangrao/nanning-east", "12Go Link")</f>
        <v>12Go Link</v>
      </c>
      <c r="E2462" s="3" t="s">
        <v>94</v>
      </c>
      <c r="K2462" s="5"/>
    </row>
    <row r="2463">
      <c r="A2463" s="3" t="s">
        <v>692</v>
      </c>
      <c r="B2463" s="3" t="s">
        <v>914</v>
      </c>
      <c r="C2463" s="3" t="s">
        <v>2642</v>
      </c>
      <c r="D2463" s="4" t="str">
        <f>HYPERLINK("https://12go.asia/en/travel/shangrao/pujiangzhen", "12Go Link")</f>
        <v>12Go Link</v>
      </c>
      <c r="E2463" s="3" t="s">
        <v>94</v>
      </c>
      <c r="K2463" s="5"/>
    </row>
    <row r="2464">
      <c r="A2464" s="3" t="s">
        <v>692</v>
      </c>
      <c r="B2464" s="3" t="s">
        <v>550</v>
      </c>
      <c r="C2464" s="3" t="s">
        <v>2643</v>
      </c>
      <c r="D2464" s="4" t="str">
        <f>HYPERLINK("https://12go.asia/en/travel/shangrao/saihan", "12Go Link")</f>
        <v>12Go Link</v>
      </c>
      <c r="E2464" s="3" t="s">
        <v>94</v>
      </c>
      <c r="K2464" s="5"/>
    </row>
    <row r="2465">
      <c r="A2465" s="3" t="s">
        <v>692</v>
      </c>
      <c r="B2465" s="3" t="s">
        <v>552</v>
      </c>
      <c r="C2465" s="3" t="s">
        <v>2644</v>
      </c>
      <c r="D2465" s="4" t="str">
        <f>HYPERLINK("https://12go.asia/en/travel/shangrao/shaanxi", "12Go Link")</f>
        <v>12Go Link</v>
      </c>
      <c r="E2465" s="3" t="s">
        <v>94</v>
      </c>
      <c r="K2465" s="5"/>
    </row>
    <row r="2466">
      <c r="A2466" s="3" t="s">
        <v>692</v>
      </c>
      <c r="B2466" s="3" t="s">
        <v>554</v>
      </c>
      <c r="C2466" s="3" t="s">
        <v>2645</v>
      </c>
      <c r="D2466" s="4" t="str">
        <f>HYPERLINK("https://12go.asia/en/travel/shangrao/shenyang", "12Go Link")</f>
        <v>12Go Link</v>
      </c>
      <c r="E2466" s="3" t="s">
        <v>94</v>
      </c>
      <c r="K2466" s="5"/>
    </row>
    <row r="2467">
      <c r="A2467" s="3" t="s">
        <v>692</v>
      </c>
      <c r="B2467" s="3" t="s">
        <v>554</v>
      </c>
      <c r="C2467" s="3" t="s">
        <v>2646</v>
      </c>
      <c r="D2467" s="4" t="str">
        <f>HYPERLINK("https://12go.asia/en/travel/shangrao/shenyang-south", "12Go Link")</f>
        <v>12Go Link</v>
      </c>
      <c r="E2467" s="3" t="s">
        <v>94</v>
      </c>
      <c r="K2467" s="5"/>
    </row>
    <row r="2468">
      <c r="A2468" s="3" t="s">
        <v>692</v>
      </c>
      <c r="B2468" s="3" t="s">
        <v>560</v>
      </c>
      <c r="C2468" s="3" t="s">
        <v>2647</v>
      </c>
      <c r="D2468" s="4" t="str">
        <f>HYPERLINK("https://12go.asia/en/travel/shangrao/shuangliu", "12Go Link")</f>
        <v>12Go Link</v>
      </c>
      <c r="E2468" s="3" t="s">
        <v>94</v>
      </c>
      <c r="K2468" s="5"/>
    </row>
    <row r="2469">
      <c r="A2469" s="3" t="s">
        <v>692</v>
      </c>
      <c r="B2469" s="3" t="s">
        <v>2307</v>
      </c>
      <c r="C2469" s="3" t="s">
        <v>2648</v>
      </c>
      <c r="D2469" s="4" t="str">
        <f>HYPERLINK("https://12go.asia/en/travel/shangrao/jianxi", "12Go Link")</f>
        <v>12Go Link</v>
      </c>
      <c r="E2469" s="3" t="s">
        <v>94</v>
      </c>
      <c r="K2469" s="5"/>
    </row>
    <row r="2470">
      <c r="A2470" s="3" t="s">
        <v>692</v>
      </c>
      <c r="B2470" s="3" t="s">
        <v>2307</v>
      </c>
      <c r="C2470" s="3" t="s">
        <v>2649</v>
      </c>
      <c r="D2470" s="4" t="str">
        <f>HYPERLINK("https://12go.asia/en/travel/shangrao/shunchang", "12Go Link")</f>
        <v>12Go Link</v>
      </c>
      <c r="E2470" s="3" t="s">
        <v>94</v>
      </c>
      <c r="K2470" s="5"/>
    </row>
    <row r="2471">
      <c r="A2471" s="3" t="s">
        <v>692</v>
      </c>
      <c r="B2471" s="3" t="s">
        <v>562</v>
      </c>
      <c r="C2471" s="3" t="s">
        <v>2650</v>
      </c>
      <c r="D2471" s="4" t="str">
        <f>HYPERLINK("https://12go.asia/en/travel/shangrao/sichuan", "12Go Link")</f>
        <v>12Go Link</v>
      </c>
      <c r="E2471" s="3" t="s">
        <v>94</v>
      </c>
      <c r="K2471" s="5"/>
    </row>
    <row r="2472">
      <c r="A2472" s="3" t="s">
        <v>692</v>
      </c>
      <c r="B2472" s="3" t="s">
        <v>917</v>
      </c>
      <c r="C2472" s="3" t="s">
        <v>2651</v>
      </c>
      <c r="D2472" s="4" t="str">
        <f>HYPERLINK("https://12go.asia/en/travel/shangrao/shanghai-songjiang", "12Go Link")</f>
        <v>12Go Link</v>
      </c>
      <c r="E2472" s="3" t="s">
        <v>94</v>
      </c>
      <c r="K2472" s="5"/>
    </row>
    <row r="2473">
      <c r="A2473" s="3" t="s">
        <v>692</v>
      </c>
      <c r="B2473" s="3" t="s">
        <v>917</v>
      </c>
      <c r="C2473" s="3" t="s">
        <v>2652</v>
      </c>
      <c r="D2473" s="4" t="str">
        <f>HYPERLINK("https://12go.asia/en/travel/shangrao/songjiang-north", "12Go Link")</f>
        <v>12Go Link</v>
      </c>
      <c r="E2473" s="3" t="s">
        <v>94</v>
      </c>
      <c r="K2473" s="5"/>
    </row>
    <row r="2474">
      <c r="A2474" s="3" t="s">
        <v>692</v>
      </c>
      <c r="B2474" s="3" t="s">
        <v>917</v>
      </c>
      <c r="C2474" s="3" t="s">
        <v>2653</v>
      </c>
      <c r="D2474" s="4" t="str">
        <f>HYPERLINK("https://12go.asia/en/travel/shangrao/songjiang-shanghai", "12Go Link")</f>
        <v>12Go Link</v>
      </c>
      <c r="E2474" s="3" t="s">
        <v>94</v>
      </c>
      <c r="K2474" s="5"/>
    </row>
    <row r="2475">
      <c r="A2475" s="3" t="s">
        <v>692</v>
      </c>
      <c r="B2475" s="3" t="s">
        <v>566</v>
      </c>
      <c r="C2475" s="3" t="s">
        <v>2654</v>
      </c>
      <c r="D2475" s="4" t="str">
        <f>HYPERLINK("https://12go.asia/en/travel/shangrao/wenjiang", "12Go Link")</f>
        <v>12Go Link</v>
      </c>
      <c r="E2475" s="3" t="s">
        <v>94</v>
      </c>
      <c r="K2475" s="5"/>
    </row>
    <row r="2476">
      <c r="A2476" s="3" t="s">
        <v>692</v>
      </c>
      <c r="B2476" s="3" t="s">
        <v>712</v>
      </c>
      <c r="C2476" s="3" t="s">
        <v>2655</v>
      </c>
      <c r="D2476" s="4" t="str">
        <f>HYPERLINK("https://12go.asia/en/travel/shangrao/xihu", "12Go Link")</f>
        <v>12Go Link</v>
      </c>
      <c r="E2476" s="3" t="s">
        <v>94</v>
      </c>
      <c r="K2476" s="5"/>
    </row>
    <row r="2477">
      <c r="A2477" s="3" t="s">
        <v>692</v>
      </c>
      <c r="B2477" s="3" t="s">
        <v>1977</v>
      </c>
      <c r="C2477" s="3" t="s">
        <v>2656</v>
      </c>
      <c r="D2477" s="4" t="str">
        <f>HYPERLINK("https://12go.asia/en/travel/shangrao/xinyu", "12Go Link")</f>
        <v>12Go Link</v>
      </c>
      <c r="E2477" s="3" t="s">
        <v>94</v>
      </c>
      <c r="K2477" s="5"/>
    </row>
    <row r="2478">
      <c r="A2478" s="3" t="s">
        <v>692</v>
      </c>
      <c r="B2478" s="3" t="s">
        <v>575</v>
      </c>
      <c r="C2478" s="3" t="s">
        <v>2657</v>
      </c>
      <c r="D2478" s="4" t="str">
        <f>HYPERLINK("https://12go.asia/en/travel/shangrao/xishui", "12Go Link")</f>
        <v>12Go Link</v>
      </c>
      <c r="E2478" s="3" t="s">
        <v>94</v>
      </c>
      <c r="K2478" s="5"/>
    </row>
    <row r="2479">
      <c r="A2479" s="3" t="s">
        <v>1345</v>
      </c>
      <c r="B2479" s="3" t="s">
        <v>1699</v>
      </c>
      <c r="C2479" s="3" t="s">
        <v>2658</v>
      </c>
      <c r="D2479" s="4" t="str">
        <f>HYPERLINK("https://12go.asia/en/travel/shangri-la/chuxiong", "12Go Link")</f>
        <v>12Go Link</v>
      </c>
      <c r="E2479" s="3" t="s">
        <v>94</v>
      </c>
      <c r="K2479" s="5"/>
    </row>
    <row r="2480">
      <c r="A2480" s="3" t="s">
        <v>780</v>
      </c>
      <c r="B2480" s="3" t="s">
        <v>516</v>
      </c>
      <c r="C2480" s="3" t="s">
        <v>2659</v>
      </c>
      <c r="D2480" s="4" t="str">
        <f>HYPERLINK("https://12go.asia/en/travel/shanhaiguan/binhai", "12Go Link")</f>
        <v>12Go Link</v>
      </c>
      <c r="E2480" s="3" t="s">
        <v>94</v>
      </c>
      <c r="K2480" s="5"/>
    </row>
    <row r="2481">
      <c r="A2481" s="3" t="s">
        <v>780</v>
      </c>
      <c r="B2481" s="3" t="s">
        <v>516</v>
      </c>
      <c r="C2481" s="3" t="s">
        <v>2660</v>
      </c>
      <c r="D2481" s="4" t="str">
        <f>HYPERLINK("https://12go.asia/en/travel/shanhaiguan/binhai-north", "12Go Link")</f>
        <v>12Go Link</v>
      </c>
      <c r="E2481" s="3" t="s">
        <v>94</v>
      </c>
      <c r="K2481" s="5"/>
    </row>
    <row r="2482">
      <c r="A2482" s="3" t="s">
        <v>780</v>
      </c>
      <c r="B2482" s="3" t="s">
        <v>516</v>
      </c>
      <c r="C2482" s="3" t="s">
        <v>2661</v>
      </c>
      <c r="D2482" s="4" t="str">
        <f>HYPERLINK("https://12go.asia/en/travel/shanhaiguan/binhai-west", "12Go Link")</f>
        <v>12Go Link</v>
      </c>
      <c r="E2482" s="3" t="s">
        <v>94</v>
      </c>
      <c r="K2482" s="5"/>
    </row>
    <row r="2483">
      <c r="A2483" s="3" t="s">
        <v>780</v>
      </c>
      <c r="B2483" s="3" t="s">
        <v>1761</v>
      </c>
      <c r="C2483" s="3" t="s">
        <v>2662</v>
      </c>
      <c r="D2483" s="4" t="str">
        <f>HYPERLINK("https://12go.asia/en/travel/shanhaiguan/dalian", "12Go Link")</f>
        <v>12Go Link</v>
      </c>
      <c r="E2483" s="3" t="s">
        <v>94</v>
      </c>
      <c r="K2483" s="5"/>
    </row>
    <row r="2484">
      <c r="A2484" s="3" t="s">
        <v>780</v>
      </c>
      <c r="B2484" s="3" t="s">
        <v>1761</v>
      </c>
      <c r="C2484" s="3" t="s">
        <v>2663</v>
      </c>
      <c r="D2484" s="4" t="str">
        <f>HYPERLINK("https://12go.asia/en/travel/shanhaiguan/dalian-north", "12Go Link")</f>
        <v>12Go Link</v>
      </c>
      <c r="E2484" s="3" t="s">
        <v>94</v>
      </c>
      <c r="K2484" s="5"/>
    </row>
    <row r="2485">
      <c r="A2485" s="3" t="s">
        <v>780</v>
      </c>
      <c r="B2485" s="3" t="s">
        <v>865</v>
      </c>
      <c r="C2485" s="3" t="s">
        <v>2664</v>
      </c>
      <c r="D2485" s="4" t="str">
        <f>HYPERLINK("https://12go.asia/en/travel/shanhaiguan/huludao", "12Go Link")</f>
        <v>12Go Link</v>
      </c>
      <c r="E2485" s="3" t="s">
        <v>94</v>
      </c>
      <c r="K2485" s="5"/>
    </row>
    <row r="2486">
      <c r="A2486" s="3" t="s">
        <v>780</v>
      </c>
      <c r="B2486" s="3" t="s">
        <v>865</v>
      </c>
      <c r="C2486" s="3" t="s">
        <v>2665</v>
      </c>
      <c r="D2486" s="4" t="str">
        <f>HYPERLINK("https://12go.asia/en/travel/shanhaiguan/huludao-north", "12Go Link")</f>
        <v>12Go Link</v>
      </c>
      <c r="E2486" s="3" t="s">
        <v>94</v>
      </c>
      <c r="K2486" s="5"/>
    </row>
    <row r="2487">
      <c r="A2487" s="3" t="s">
        <v>780</v>
      </c>
      <c r="B2487" s="3" t="s">
        <v>823</v>
      </c>
      <c r="C2487" s="3" t="s">
        <v>2666</v>
      </c>
      <c r="D2487" s="4" t="str">
        <f>HYPERLINK("https://12go.asia/en/travel/shanhaiguan/tianjin", "12Go Link")</f>
        <v>12Go Link</v>
      </c>
      <c r="E2487" s="3" t="s">
        <v>94</v>
      </c>
      <c r="K2487" s="5"/>
    </row>
    <row r="2488">
      <c r="A2488" s="3" t="s">
        <v>780</v>
      </c>
      <c r="B2488" s="3" t="s">
        <v>823</v>
      </c>
      <c r="C2488" s="3" t="s">
        <v>2667</v>
      </c>
      <c r="D2488" s="4" t="str">
        <f>HYPERLINK("https://12go.asia/en/travel/shanhaiguan/tianjin-west", "12Go Link")</f>
        <v>12Go Link</v>
      </c>
      <c r="E2488" s="3" t="s">
        <v>94</v>
      </c>
      <c r="K2488" s="5"/>
    </row>
    <row r="2489">
      <c r="A2489" s="3" t="s">
        <v>780</v>
      </c>
      <c r="B2489" s="3" t="s">
        <v>2668</v>
      </c>
      <c r="C2489" s="3" t="s">
        <v>2669</v>
      </c>
      <c r="D2489" s="4" t="str">
        <f>HYPERLINK("https://12go.asia/en/travel/shanhaiguan/tieling", "12Go Link")</f>
        <v>12Go Link</v>
      </c>
      <c r="E2489" s="3" t="s">
        <v>94</v>
      </c>
      <c r="K2489" s="5"/>
    </row>
    <row r="2490">
      <c r="A2490" s="3" t="s">
        <v>780</v>
      </c>
      <c r="B2490" s="3" t="s">
        <v>722</v>
      </c>
      <c r="C2490" s="3" t="s">
        <v>2670</v>
      </c>
      <c r="D2490" s="4" t="str">
        <f>HYPERLINK("https://12go.asia/en/travel/shanhaiguan/yijiang", "12Go Link")</f>
        <v>12Go Link</v>
      </c>
      <c r="E2490" s="3" t="s">
        <v>94</v>
      </c>
      <c r="K2490" s="5"/>
    </row>
    <row r="2491">
      <c r="A2491" s="3" t="s">
        <v>1846</v>
      </c>
      <c r="B2491" s="3" t="s">
        <v>600</v>
      </c>
      <c r="C2491" s="3" t="s">
        <v>2671</v>
      </c>
      <c r="D2491" s="4" t="str">
        <f>HYPERLINK("https://12go.asia/en/travel/shantou-south/boluo", "12Go Link")</f>
        <v>12Go Link</v>
      </c>
      <c r="E2491" s="3" t="s">
        <v>94</v>
      </c>
      <c r="K2491" s="5"/>
    </row>
    <row r="2492">
      <c r="A2492" s="3" t="s">
        <v>1846</v>
      </c>
      <c r="B2492" s="3" t="s">
        <v>600</v>
      </c>
      <c r="C2492" s="3" t="s">
        <v>2672</v>
      </c>
      <c r="D2492" s="4" t="str">
        <f>HYPERLINK("https://12go.asia/en/travel/shantou-south/luofushan", "12Go Link")</f>
        <v>12Go Link</v>
      </c>
      <c r="E2492" s="3" t="s">
        <v>94</v>
      </c>
      <c r="K2492" s="5"/>
    </row>
    <row r="2493">
      <c r="A2493" s="3" t="s">
        <v>1846</v>
      </c>
      <c r="B2493" s="3" t="s">
        <v>600</v>
      </c>
      <c r="C2493" s="3" t="s">
        <v>2673</v>
      </c>
      <c r="D2493" s="4" t="str">
        <f>HYPERLINK("https://12go.asia/en/travel/shantou/boluo", "12Go Link")</f>
        <v>12Go Link</v>
      </c>
      <c r="E2493" s="3" t="s">
        <v>94</v>
      </c>
      <c r="K2493" s="5"/>
    </row>
    <row r="2494">
      <c r="A2494" s="3" t="s">
        <v>1846</v>
      </c>
      <c r="B2494" s="3" t="s">
        <v>600</v>
      </c>
      <c r="C2494" s="3" t="s">
        <v>2674</v>
      </c>
      <c r="D2494" s="4" t="str">
        <f>HYPERLINK("https://12go.asia/en/travel/shantou/luofushan", "12Go Link")</f>
        <v>12Go Link</v>
      </c>
      <c r="E2494" s="3" t="s">
        <v>94</v>
      </c>
      <c r="K2494" s="5"/>
    </row>
    <row r="2495">
      <c r="A2495" s="3" t="s">
        <v>1846</v>
      </c>
      <c r="B2495" s="3" t="s">
        <v>1273</v>
      </c>
      <c r="C2495" s="3" t="s">
        <v>2675</v>
      </c>
      <c r="D2495" s="4" t="str">
        <f>HYPERLINK("https://12go.asia/en/travel/shantou/chenzhou", "12Go Link")</f>
        <v>12Go Link</v>
      </c>
      <c r="E2495" s="3" t="s">
        <v>94</v>
      </c>
      <c r="K2495" s="5"/>
    </row>
    <row r="2496">
      <c r="A2496" s="3" t="s">
        <v>1846</v>
      </c>
      <c r="B2496" s="3" t="s">
        <v>1273</v>
      </c>
      <c r="C2496" s="3" t="s">
        <v>2676</v>
      </c>
      <c r="D2496" s="4" t="str">
        <f>HYPERLINK("https://12go.asia/en/travel/shantou/chenzhou-west", "12Go Link")</f>
        <v>12Go Link</v>
      </c>
      <c r="E2496" s="3" t="s">
        <v>94</v>
      </c>
      <c r="K2496" s="5"/>
    </row>
    <row r="2497">
      <c r="A2497" s="3" t="s">
        <v>1846</v>
      </c>
      <c r="B2497" s="3" t="s">
        <v>632</v>
      </c>
      <c r="C2497" s="3" t="s">
        <v>2677</v>
      </c>
      <c r="D2497" s="4" t="str">
        <f>HYPERLINK("https://12go.asia/en/travel/shantou-south/guangzhoubaiyun", "12Go Link")</f>
        <v>12Go Link</v>
      </c>
      <c r="E2497" s="3" t="s">
        <v>94</v>
      </c>
      <c r="K2497" s="5"/>
    </row>
    <row r="2498">
      <c r="A2498" s="3" t="s">
        <v>1846</v>
      </c>
      <c r="B2498" s="3" t="s">
        <v>632</v>
      </c>
      <c r="C2498" s="3" t="s">
        <v>2678</v>
      </c>
      <c r="D2498" s="4" t="str">
        <f>HYPERLINK("https://12go.asia/en/travel/shantou/huaxi", "12Go Link")</f>
        <v>12Go Link</v>
      </c>
      <c r="E2498" s="3" t="s">
        <v>94</v>
      </c>
      <c r="K2498" s="5"/>
    </row>
    <row r="2499">
      <c r="A2499" s="3" t="s">
        <v>1846</v>
      </c>
      <c r="B2499" s="3" t="s">
        <v>954</v>
      </c>
      <c r="C2499" s="3" t="s">
        <v>2679</v>
      </c>
      <c r="D2499" s="4" t="str">
        <f>HYPERLINK("https://12go.asia/en/travel/shantou-south/huidong", "12Go Link")</f>
        <v>12Go Link</v>
      </c>
      <c r="E2499" s="3" t="s">
        <v>94</v>
      </c>
      <c r="K2499" s="5"/>
    </row>
    <row r="2500">
      <c r="A2500" s="3" t="s">
        <v>1846</v>
      </c>
      <c r="B2500" s="3" t="s">
        <v>954</v>
      </c>
      <c r="C2500" s="3" t="s">
        <v>2680</v>
      </c>
      <c r="D2500" s="4" t="str">
        <f>HYPERLINK("https://12go.asia/en/travel/shantou/huidong", "12Go Link")</f>
        <v>12Go Link</v>
      </c>
      <c r="E2500" s="3" t="s">
        <v>94</v>
      </c>
      <c r="K2500" s="5"/>
    </row>
    <row r="2501">
      <c r="A2501" s="3" t="s">
        <v>1846</v>
      </c>
      <c r="B2501" s="3" t="s">
        <v>957</v>
      </c>
      <c r="C2501" s="3" t="s">
        <v>2681</v>
      </c>
      <c r="D2501" s="4" t="str">
        <f>HYPERLINK("https://12go.asia/en/travel/shantou/huiyang-district", "12Go Link")</f>
        <v>12Go Link</v>
      </c>
      <c r="E2501" s="3" t="s">
        <v>94</v>
      </c>
      <c r="K2501" s="5"/>
    </row>
    <row r="2502">
      <c r="A2502" s="3" t="s">
        <v>1846</v>
      </c>
      <c r="B2502" s="3" t="s">
        <v>639</v>
      </c>
      <c r="C2502" s="3" t="s">
        <v>2682</v>
      </c>
      <c r="D2502" s="4" t="str">
        <f>HYPERLINK("https://12go.asia/en/travel/shantou/jiangbei", "12Go Link")</f>
        <v>12Go Link</v>
      </c>
      <c r="E2502" s="3" t="s">
        <v>94</v>
      </c>
      <c r="K2502" s="5"/>
    </row>
    <row r="2503">
      <c r="A2503" s="3" t="s">
        <v>1846</v>
      </c>
      <c r="B2503" s="3" t="s">
        <v>641</v>
      </c>
      <c r="C2503" s="3" t="s">
        <v>2683</v>
      </c>
      <c r="D2503" s="4" t="str">
        <f>HYPERLINK("https://12go.asia/en/travel/shantou/jiangjin", "12Go Link")</f>
        <v>12Go Link</v>
      </c>
      <c r="E2503" s="3" t="s">
        <v>94</v>
      </c>
      <c r="K2503" s="5"/>
    </row>
    <row r="2504">
      <c r="A2504" s="3" t="s">
        <v>1846</v>
      </c>
      <c r="B2504" s="3" t="s">
        <v>645</v>
      </c>
      <c r="C2504" s="3" t="s">
        <v>2684</v>
      </c>
      <c r="D2504" s="4" t="str">
        <f>HYPERLINK("https://12go.asia/en/travel/shantou/jiangxia", "12Go Link")</f>
        <v>12Go Link</v>
      </c>
      <c r="E2504" s="3" t="s">
        <v>94</v>
      </c>
      <c r="K2504" s="5"/>
    </row>
    <row r="2505">
      <c r="A2505" s="3" t="s">
        <v>1846</v>
      </c>
      <c r="B2505" s="3" t="s">
        <v>647</v>
      </c>
      <c r="C2505" s="3" t="s">
        <v>2685</v>
      </c>
      <c r="D2505" s="4" t="str">
        <f>HYPERLINK("https://12go.asia/en/travel/shantou/jiangyuan", "12Go Link")</f>
        <v>12Go Link</v>
      </c>
      <c r="E2505" s="3" t="s">
        <v>94</v>
      </c>
      <c r="K2505" s="5"/>
    </row>
    <row r="2506">
      <c r="A2506" s="3" t="s">
        <v>1846</v>
      </c>
      <c r="B2506" s="3" t="s">
        <v>542</v>
      </c>
      <c r="C2506" s="3" t="s">
        <v>2686</v>
      </c>
      <c r="D2506" s="4" t="str">
        <f>HYPERLINK("https://12go.asia/en/travel/shantou/jiaocheng", "12Go Link")</f>
        <v>12Go Link</v>
      </c>
      <c r="E2506" s="3" t="s">
        <v>94</v>
      </c>
      <c r="K2506" s="5"/>
    </row>
    <row r="2507">
      <c r="A2507" s="3" t="s">
        <v>1846</v>
      </c>
      <c r="B2507" s="3" t="s">
        <v>550</v>
      </c>
      <c r="C2507" s="3" t="s">
        <v>2687</v>
      </c>
      <c r="D2507" s="4" t="str">
        <f>HYPERLINK("https://12go.asia/en/travel/shantou/saihan", "12Go Link")</f>
        <v>12Go Link</v>
      </c>
      <c r="E2507" s="3" t="s">
        <v>94</v>
      </c>
      <c r="K2507" s="5"/>
    </row>
    <row r="2508">
      <c r="A2508" s="3" t="s">
        <v>1846</v>
      </c>
      <c r="B2508" s="3" t="s">
        <v>564</v>
      </c>
      <c r="C2508" s="3" t="s">
        <v>2688</v>
      </c>
      <c r="D2508" s="4" t="str">
        <f>HYPERLINK("https://12go.asia/en/travel/shantou/tianxin", "12Go Link")</f>
        <v>12Go Link</v>
      </c>
      <c r="E2508" s="3" t="s">
        <v>94</v>
      </c>
      <c r="K2508" s="5"/>
    </row>
    <row r="2509">
      <c r="A2509" s="3" t="s">
        <v>1846</v>
      </c>
      <c r="B2509" s="3" t="s">
        <v>1017</v>
      </c>
      <c r="C2509" s="3" t="s">
        <v>2689</v>
      </c>
      <c r="D2509" s="4" t="str">
        <f>HYPERLINK("https://12go.asia/en/travel/shantou-south/xintang", "12Go Link")</f>
        <v>12Go Link</v>
      </c>
      <c r="E2509" s="3" t="s">
        <v>94</v>
      </c>
      <c r="K2509" s="5"/>
    </row>
    <row r="2510">
      <c r="A2510" s="3" t="s">
        <v>1846</v>
      </c>
      <c r="B2510" s="3" t="s">
        <v>1017</v>
      </c>
      <c r="C2510" s="3" t="s">
        <v>2690</v>
      </c>
      <c r="D2510" s="4" t="str">
        <f>HYPERLINK("https://12go.asia/en/travel/shantou-south/zengcheng", "12Go Link")</f>
        <v>12Go Link</v>
      </c>
      <c r="E2510" s="3" t="s">
        <v>94</v>
      </c>
      <c r="K2510" s="5"/>
    </row>
    <row r="2511">
      <c r="A2511" s="3" t="s">
        <v>1846</v>
      </c>
      <c r="B2511" s="3" t="s">
        <v>1017</v>
      </c>
      <c r="C2511" s="3" t="s">
        <v>2691</v>
      </c>
      <c r="D2511" s="4" t="str">
        <f>HYPERLINK("https://12go.asia/en/travel/shantou/xintang", "12Go Link")</f>
        <v>12Go Link</v>
      </c>
      <c r="E2511" s="3" t="s">
        <v>94</v>
      </c>
      <c r="K2511" s="5"/>
    </row>
    <row r="2512">
      <c r="A2512" s="3" t="s">
        <v>1846</v>
      </c>
      <c r="B2512" s="3" t="s">
        <v>1017</v>
      </c>
      <c r="C2512" s="3" t="s">
        <v>2692</v>
      </c>
      <c r="D2512" s="4" t="str">
        <f>HYPERLINK("https://12go.asia/en/travel/shantou/zengcheng", "12Go Link")</f>
        <v>12Go Link</v>
      </c>
      <c r="E2512" s="3" t="s">
        <v>94</v>
      </c>
      <c r="K2512" s="5"/>
    </row>
    <row r="2513">
      <c r="A2513" s="3" t="s">
        <v>694</v>
      </c>
      <c r="B2513" s="3" t="s">
        <v>600</v>
      </c>
      <c r="C2513" s="3" t="s">
        <v>2693</v>
      </c>
      <c r="D2513" s="4" t="str">
        <f>HYPERLINK("https://12go.asia/en/travel/shaoguan/boluo", "12Go Link")</f>
        <v>12Go Link</v>
      </c>
      <c r="E2513" s="3" t="s">
        <v>94</v>
      </c>
      <c r="K2513" s="5"/>
    </row>
    <row r="2514">
      <c r="A2514" s="3" t="s">
        <v>694</v>
      </c>
      <c r="B2514" s="3" t="s">
        <v>1273</v>
      </c>
      <c r="C2514" s="3" t="s">
        <v>2694</v>
      </c>
      <c r="D2514" s="4" t="str">
        <f>HYPERLINK("https://12go.asia/en/travel/shaoguan-east/chenzhou", "12Go Link")</f>
        <v>12Go Link</v>
      </c>
      <c r="E2514" s="3" t="s">
        <v>94</v>
      </c>
      <c r="K2514" s="5"/>
    </row>
    <row r="2515">
      <c r="A2515" s="3" t="s">
        <v>694</v>
      </c>
      <c r="B2515" s="3" t="s">
        <v>1273</v>
      </c>
      <c r="C2515" s="3" t="s">
        <v>2695</v>
      </c>
      <c r="D2515" s="4" t="str">
        <f>HYPERLINK("https://12go.asia/en/travel/shaoguan/chenzhou", "12Go Link")</f>
        <v>12Go Link</v>
      </c>
      <c r="E2515" s="3" t="s">
        <v>94</v>
      </c>
      <c r="K2515" s="5"/>
    </row>
    <row r="2516">
      <c r="A2516" s="3" t="s">
        <v>694</v>
      </c>
      <c r="B2516" s="3" t="s">
        <v>1273</v>
      </c>
      <c r="C2516" s="3" t="s">
        <v>2696</v>
      </c>
      <c r="D2516" s="4" t="str">
        <f>HYPERLINK("https://12go.asia/en/travel/shaoguan/chenzhou-west", "12Go Link")</f>
        <v>12Go Link</v>
      </c>
      <c r="E2516" s="3" t="s">
        <v>94</v>
      </c>
      <c r="K2516" s="5"/>
    </row>
    <row r="2517">
      <c r="A2517" s="3" t="s">
        <v>694</v>
      </c>
      <c r="B2517" s="3" t="s">
        <v>609</v>
      </c>
      <c r="C2517" s="3" t="s">
        <v>2697</v>
      </c>
      <c r="D2517" s="4" t="str">
        <f>HYPERLINK("https://12go.asia/en/travel/shaoguan/dongcheng-south", "12Go Link")</f>
        <v>12Go Link</v>
      </c>
      <c r="E2517" s="3" t="s">
        <v>94</v>
      </c>
      <c r="K2517" s="5"/>
    </row>
    <row r="2518">
      <c r="A2518" s="3" t="s">
        <v>694</v>
      </c>
      <c r="B2518" s="3" t="s">
        <v>937</v>
      </c>
      <c r="C2518" s="3" t="s">
        <v>2698</v>
      </c>
      <c r="D2518" s="4" t="str">
        <f>HYPERLINK("https://12go.asia/en/travel/shaoguan/duanzhou", "12Go Link")</f>
        <v>12Go Link</v>
      </c>
      <c r="E2518" s="3" t="s">
        <v>94</v>
      </c>
      <c r="K2518" s="5"/>
    </row>
    <row r="2519">
      <c r="A2519" s="3" t="s">
        <v>694</v>
      </c>
      <c r="B2519" s="3" t="s">
        <v>632</v>
      </c>
      <c r="C2519" s="3" t="s">
        <v>2699</v>
      </c>
      <c r="D2519" s="4" t="str">
        <f>HYPERLINK("https://12go.asia/en/travel/shaoguan-east/guangzhoubaiyun", "12Go Link")</f>
        <v>12Go Link</v>
      </c>
      <c r="E2519" s="3" t="s">
        <v>94</v>
      </c>
      <c r="K2519" s="5"/>
    </row>
    <row r="2520">
      <c r="A2520" s="3" t="s">
        <v>694</v>
      </c>
      <c r="B2520" s="3" t="s">
        <v>632</v>
      </c>
      <c r="C2520" s="3" t="s">
        <v>2700</v>
      </c>
      <c r="D2520" s="4" t="str">
        <f>HYPERLINK("https://12go.asia/en/travel/shaoguan/guangzhoubaiyun", "12Go Link")</f>
        <v>12Go Link</v>
      </c>
      <c r="E2520" s="3" t="s">
        <v>94</v>
      </c>
      <c r="K2520" s="5"/>
    </row>
    <row r="2521">
      <c r="A2521" s="3" t="s">
        <v>694</v>
      </c>
      <c r="B2521" s="3" t="s">
        <v>632</v>
      </c>
      <c r="C2521" s="3" t="s">
        <v>2701</v>
      </c>
      <c r="D2521" s="4" t="str">
        <f>HYPERLINK("https://12go.asia/en/travel/shaoguan/huaxi", "12Go Link")</f>
        <v>12Go Link</v>
      </c>
      <c r="E2521" s="3" t="s">
        <v>94</v>
      </c>
      <c r="K2521" s="5"/>
    </row>
    <row r="2522">
      <c r="A2522" s="3" t="s">
        <v>694</v>
      </c>
      <c r="B2522" s="3" t="s">
        <v>534</v>
      </c>
      <c r="C2522" s="3" t="s">
        <v>2702</v>
      </c>
      <c r="D2522" s="4" t="str">
        <f>HYPERLINK("https://12go.asia/en/travel/shaoguan/hubei", "12Go Link")</f>
        <v>12Go Link</v>
      </c>
      <c r="E2522" s="3" t="s">
        <v>94</v>
      </c>
      <c r="K2522" s="5"/>
    </row>
    <row r="2523">
      <c r="A2523" s="3" t="s">
        <v>694</v>
      </c>
      <c r="B2523" s="3" t="s">
        <v>636</v>
      </c>
      <c r="C2523" s="3" t="s">
        <v>2703</v>
      </c>
      <c r="D2523" s="4" t="str">
        <f>HYPERLINK("https://12go.asia/en/travel/shaoguan/humen", "12Go Link")</f>
        <v>12Go Link</v>
      </c>
      <c r="E2523" s="3" t="s">
        <v>94</v>
      </c>
      <c r="K2523" s="5"/>
    </row>
    <row r="2524">
      <c r="A2524" s="3" t="s">
        <v>694</v>
      </c>
      <c r="B2524" s="3" t="s">
        <v>636</v>
      </c>
      <c r="C2524" s="3" t="s">
        <v>2704</v>
      </c>
      <c r="D2524" s="4" t="str">
        <f>HYPERLINK("https://12go.asia/en/travel/shaoguan/humen-town", "12Go Link")</f>
        <v>12Go Link</v>
      </c>
      <c r="E2524" s="3" t="s">
        <v>94</v>
      </c>
      <c r="K2524" s="5"/>
    </row>
    <row r="2525">
      <c r="A2525" s="3" t="s">
        <v>694</v>
      </c>
      <c r="B2525" s="3" t="s">
        <v>536</v>
      </c>
      <c r="C2525" s="3" t="s">
        <v>2705</v>
      </c>
      <c r="D2525" s="4" t="str">
        <f>HYPERLINK("https://12go.asia/en/travel/shaoguan/hunan", "12Go Link")</f>
        <v>12Go Link</v>
      </c>
      <c r="E2525" s="3" t="s">
        <v>94</v>
      </c>
      <c r="K2525" s="5"/>
    </row>
    <row r="2526">
      <c r="A2526" s="3" t="s">
        <v>694</v>
      </c>
      <c r="B2526" s="3" t="s">
        <v>639</v>
      </c>
      <c r="C2526" s="3" t="s">
        <v>2706</v>
      </c>
      <c r="D2526" s="4" t="str">
        <f>HYPERLINK("https://12go.asia/en/travel/shaoguan/jiangbei", "12Go Link")</f>
        <v>12Go Link</v>
      </c>
      <c r="E2526" s="3" t="s">
        <v>94</v>
      </c>
      <c r="K2526" s="5"/>
    </row>
    <row r="2527">
      <c r="A2527" s="3" t="s">
        <v>694</v>
      </c>
      <c r="B2527" s="3" t="s">
        <v>641</v>
      </c>
      <c r="C2527" s="3" t="s">
        <v>2707</v>
      </c>
      <c r="D2527" s="4" t="str">
        <f>HYPERLINK("https://12go.asia/en/travel/shaoguan/jiangjin", "12Go Link")</f>
        <v>12Go Link</v>
      </c>
      <c r="E2527" s="3" t="s">
        <v>94</v>
      </c>
      <c r="K2527" s="5"/>
    </row>
    <row r="2528">
      <c r="A2528" s="3" t="s">
        <v>694</v>
      </c>
      <c r="B2528" s="3" t="s">
        <v>538</v>
      </c>
      <c r="C2528" s="3" t="s">
        <v>2708</v>
      </c>
      <c r="D2528" s="4" t="str">
        <f>HYPERLINK("https://12go.asia/en/travel/shaoguan/jiangxi", "12Go Link")</f>
        <v>12Go Link</v>
      </c>
      <c r="E2528" s="3" t="s">
        <v>94</v>
      </c>
      <c r="K2528" s="5"/>
    </row>
    <row r="2529">
      <c r="A2529" s="3" t="s">
        <v>694</v>
      </c>
      <c r="B2529" s="3" t="s">
        <v>645</v>
      </c>
      <c r="C2529" s="3" t="s">
        <v>2709</v>
      </c>
      <c r="D2529" s="4" t="str">
        <f>HYPERLINK("https://12go.asia/en/travel/shaoguan/jiangxia", "12Go Link")</f>
        <v>12Go Link</v>
      </c>
      <c r="E2529" s="3" t="s">
        <v>94</v>
      </c>
      <c r="K2529" s="5"/>
    </row>
    <row r="2530">
      <c r="A2530" s="3" t="s">
        <v>694</v>
      </c>
      <c r="B2530" s="3" t="s">
        <v>647</v>
      </c>
      <c r="C2530" s="3" t="s">
        <v>2710</v>
      </c>
      <c r="D2530" s="4" t="str">
        <f>HYPERLINK("https://12go.asia/en/travel/shaoguan/jiangyuan", "12Go Link")</f>
        <v>12Go Link</v>
      </c>
      <c r="E2530" s="3" t="s">
        <v>94</v>
      </c>
      <c r="K2530" s="5"/>
    </row>
    <row r="2531">
      <c r="A2531" s="3" t="s">
        <v>694</v>
      </c>
      <c r="B2531" s="3" t="s">
        <v>542</v>
      </c>
      <c r="C2531" s="3" t="s">
        <v>2711</v>
      </c>
      <c r="D2531" s="4" t="str">
        <f>HYPERLINK("https://12go.asia/en/travel/shaoguan/jiaocheng", "12Go Link")</f>
        <v>12Go Link</v>
      </c>
      <c r="E2531" s="3" t="s">
        <v>94</v>
      </c>
      <c r="K2531" s="5"/>
    </row>
    <row r="2532">
      <c r="A2532" s="3" t="s">
        <v>694</v>
      </c>
      <c r="B2532" s="3" t="s">
        <v>550</v>
      </c>
      <c r="C2532" s="3" t="s">
        <v>2712</v>
      </c>
      <c r="D2532" s="4" t="str">
        <f>HYPERLINK("https://12go.asia/en/travel/shaoguan/saihan", "12Go Link")</f>
        <v>12Go Link</v>
      </c>
      <c r="E2532" s="3" t="s">
        <v>94</v>
      </c>
      <c r="K2532" s="5"/>
    </row>
    <row r="2533">
      <c r="A2533" s="3" t="s">
        <v>694</v>
      </c>
      <c r="B2533" s="3" t="s">
        <v>552</v>
      </c>
      <c r="C2533" s="3" t="s">
        <v>2713</v>
      </c>
      <c r="D2533" s="4" t="str">
        <f>HYPERLINK("https://12go.asia/en/travel/shaoguan/shaanxi", "12Go Link")</f>
        <v>12Go Link</v>
      </c>
      <c r="E2533" s="3" t="s">
        <v>94</v>
      </c>
      <c r="K2533" s="5"/>
    </row>
    <row r="2534">
      <c r="A2534" s="3" t="s">
        <v>694</v>
      </c>
      <c r="B2534" s="3" t="s">
        <v>692</v>
      </c>
      <c r="C2534" s="3" t="s">
        <v>2714</v>
      </c>
      <c r="D2534" s="4" t="str">
        <f>HYPERLINK("https://12go.asia/en/travel/shaoguan-east/shangrao", "12Go Link")</f>
        <v>12Go Link</v>
      </c>
      <c r="E2534" s="3" t="s">
        <v>94</v>
      </c>
      <c r="K2534" s="5"/>
    </row>
    <row r="2535">
      <c r="A2535" s="3" t="s">
        <v>694</v>
      </c>
      <c r="B2535" s="3" t="s">
        <v>692</v>
      </c>
      <c r="C2535" s="3" t="s">
        <v>2715</v>
      </c>
      <c r="D2535" s="4" t="str">
        <f>HYPERLINK("https://12go.asia/en/travel/shaoguan/shangrao", "12Go Link")</f>
        <v>12Go Link</v>
      </c>
      <c r="E2535" s="3" t="s">
        <v>94</v>
      </c>
      <c r="K2535" s="5"/>
    </row>
    <row r="2536">
      <c r="A2536" s="3" t="s">
        <v>694</v>
      </c>
      <c r="B2536" s="3" t="s">
        <v>564</v>
      </c>
      <c r="C2536" s="3" t="s">
        <v>2716</v>
      </c>
      <c r="D2536" s="4" t="str">
        <f>HYPERLINK("https://12go.asia/en/travel/shaoguan/tianxin", "12Go Link")</f>
        <v>12Go Link</v>
      </c>
      <c r="E2536" s="3" t="s">
        <v>94</v>
      </c>
      <c r="K2536" s="5"/>
    </row>
    <row r="2537">
      <c r="A2537" s="3" t="s">
        <v>694</v>
      </c>
      <c r="B2537" s="3" t="s">
        <v>806</v>
      </c>
      <c r="C2537" s="3" t="s">
        <v>2717</v>
      </c>
      <c r="D2537" s="4" t="str">
        <f>HYPERLINK("https://12go.asia/en/travel/shaoguan-east/xinyang", "12Go Link")</f>
        <v>12Go Link</v>
      </c>
      <c r="E2537" s="3" t="s">
        <v>94</v>
      </c>
      <c r="K2537" s="5"/>
    </row>
    <row r="2538">
      <c r="A2538" s="3" t="s">
        <v>694</v>
      </c>
      <c r="B2538" s="3" t="s">
        <v>806</v>
      </c>
      <c r="C2538" s="3" t="s">
        <v>2718</v>
      </c>
      <c r="D2538" s="4" t="str">
        <f>HYPERLINK("https://12go.asia/en/travel/shaoguan/xinyang", "12Go Link")</f>
        <v>12Go Link</v>
      </c>
      <c r="E2538" s="3" t="s">
        <v>94</v>
      </c>
      <c r="K2538" s="5"/>
    </row>
    <row r="2539">
      <c r="A2539" s="3" t="s">
        <v>694</v>
      </c>
      <c r="B2539" s="3" t="s">
        <v>806</v>
      </c>
      <c r="C2539" s="3" t="s">
        <v>2719</v>
      </c>
      <c r="D2539" s="4" t="str">
        <f>HYPERLINK("https://12go.asia/en/travel/shaoguan/xinyang-east", "12Go Link")</f>
        <v>12Go Link</v>
      </c>
      <c r="E2539" s="3" t="s">
        <v>94</v>
      </c>
      <c r="K2539" s="5"/>
    </row>
    <row r="2540">
      <c r="A2540" s="3" t="s">
        <v>694</v>
      </c>
      <c r="B2540" s="3" t="s">
        <v>819</v>
      </c>
      <c r="C2540" s="3" t="s">
        <v>2720</v>
      </c>
      <c r="D2540" s="4" t="str">
        <f>HYPERLINK("https://12go.asia/en/travel/shaoguan-east/yueyang", "12Go Link")</f>
        <v>12Go Link</v>
      </c>
      <c r="E2540" s="3" t="s">
        <v>94</v>
      </c>
      <c r="K2540" s="5"/>
    </row>
    <row r="2541">
      <c r="A2541" s="3" t="s">
        <v>694</v>
      </c>
      <c r="B2541" s="3" t="s">
        <v>819</v>
      </c>
      <c r="C2541" s="3" t="s">
        <v>2721</v>
      </c>
      <c r="D2541" s="4" t="str">
        <f>HYPERLINK("https://12go.asia/en/travel/shaoguan/yueyang", "12Go Link")</f>
        <v>12Go Link</v>
      </c>
      <c r="E2541" s="3" t="s">
        <v>94</v>
      </c>
      <c r="K2541" s="5"/>
    </row>
    <row r="2542">
      <c r="A2542" s="3" t="s">
        <v>694</v>
      </c>
      <c r="B2542" s="3" t="s">
        <v>819</v>
      </c>
      <c r="C2542" s="3" t="s">
        <v>2722</v>
      </c>
      <c r="D2542" s="4" t="str">
        <f>HYPERLINK("https://12go.asia/en/travel/shaoguan/yueyang-east", "12Go Link")</f>
        <v>12Go Link</v>
      </c>
      <c r="E2542" s="3" t="s">
        <v>94</v>
      </c>
      <c r="K2542" s="5"/>
    </row>
    <row r="2543">
      <c r="A2543" s="3" t="s">
        <v>694</v>
      </c>
      <c r="B2543" s="3" t="s">
        <v>1017</v>
      </c>
      <c r="C2543" s="3" t="s">
        <v>2723</v>
      </c>
      <c r="D2543" s="4" t="str">
        <f>HYPERLINK("https://12go.asia/en/travel/shaoguan/xintang", "12Go Link")</f>
        <v>12Go Link</v>
      </c>
      <c r="E2543" s="3" t="s">
        <v>94</v>
      </c>
      <c r="K2543" s="5"/>
    </row>
    <row r="2544">
      <c r="A2544" s="3" t="s">
        <v>694</v>
      </c>
      <c r="B2544" s="3" t="s">
        <v>1017</v>
      </c>
      <c r="C2544" s="3" t="s">
        <v>2724</v>
      </c>
      <c r="D2544" s="4" t="str">
        <f>HYPERLINK("https://12go.asia/en/travel/shaoguan/zengcheng", "12Go Link")</f>
        <v>12Go Link</v>
      </c>
      <c r="E2544" s="3" t="s">
        <v>94</v>
      </c>
      <c r="K2544" s="5"/>
    </row>
    <row r="2545">
      <c r="A2545" s="3" t="s">
        <v>1309</v>
      </c>
      <c r="B2545" s="3" t="s">
        <v>593</v>
      </c>
      <c r="C2545" s="3" t="s">
        <v>2725</v>
      </c>
      <c r="D2545" s="4" t="str">
        <f>HYPERLINK("https://12go.asia/en/travel/shaoshan-south/beijing-west", "12Go Link")</f>
        <v>12Go Link</v>
      </c>
      <c r="E2545" s="3" t="s">
        <v>94</v>
      </c>
      <c r="K2545" s="5"/>
    </row>
    <row r="2546">
      <c r="A2546" s="3" t="s">
        <v>1309</v>
      </c>
      <c r="B2546" s="3" t="s">
        <v>593</v>
      </c>
      <c r="C2546" s="3" t="s">
        <v>2726</v>
      </c>
      <c r="D2546" s="4" t="str">
        <f>HYPERLINK("https://12go.asia/en/travel/shaoshan/beijing", "12Go Link")</f>
        <v>12Go Link</v>
      </c>
      <c r="E2546" s="3" t="s">
        <v>94</v>
      </c>
      <c r="K2546" s="5"/>
    </row>
    <row r="2547">
      <c r="A2547" s="3" t="s">
        <v>1309</v>
      </c>
      <c r="B2547" s="3" t="s">
        <v>1366</v>
      </c>
      <c r="C2547" s="3" t="s">
        <v>2727</v>
      </c>
      <c r="D2547" s="4" t="str">
        <f>HYPERLINK("https://12go.asia/en/travel/shaoshan-south/guangzhou-south", "12Go Link")</f>
        <v>12Go Link</v>
      </c>
      <c r="E2547" s="3" t="s">
        <v>94</v>
      </c>
      <c r="K2547" s="5"/>
    </row>
    <row r="2548">
      <c r="A2548" s="3" t="s">
        <v>1309</v>
      </c>
      <c r="B2548" s="3" t="s">
        <v>1366</v>
      </c>
      <c r="C2548" s="3" t="s">
        <v>2728</v>
      </c>
      <c r="D2548" s="4" t="str">
        <f>HYPERLINK("https://12go.asia/en/travel/shaoshan/guangzhou", "12Go Link")</f>
        <v>12Go Link</v>
      </c>
      <c r="E2548" s="3" t="s">
        <v>94</v>
      </c>
      <c r="K2548" s="5"/>
    </row>
    <row r="2549">
      <c r="A2549" s="3" t="s">
        <v>1309</v>
      </c>
      <c r="B2549" s="3" t="s">
        <v>755</v>
      </c>
      <c r="C2549" s="3" t="s">
        <v>2729</v>
      </c>
      <c r="D2549" s="4" t="str">
        <f>HYPERLINK("https://12go.asia/en/travel/shaoshan-south/hangzhou-east", "12Go Link")</f>
        <v>12Go Link</v>
      </c>
      <c r="E2549" s="3" t="s">
        <v>94</v>
      </c>
      <c r="K2549" s="5"/>
    </row>
    <row r="2550">
      <c r="A2550" s="3" t="s">
        <v>1309</v>
      </c>
      <c r="B2550" s="3" t="s">
        <v>755</v>
      </c>
      <c r="C2550" s="3" t="s">
        <v>2730</v>
      </c>
      <c r="D2550" s="4" t="str">
        <f>HYPERLINK("https://12go.asia/en/travel/shaoshan-south/hangzhou-south", "12Go Link")</f>
        <v>12Go Link</v>
      </c>
      <c r="E2550" s="3" t="s">
        <v>94</v>
      </c>
      <c r="K2550" s="5"/>
    </row>
    <row r="2551">
      <c r="A2551" s="3" t="s">
        <v>1309</v>
      </c>
      <c r="B2551" s="3" t="s">
        <v>755</v>
      </c>
      <c r="C2551" s="3" t="s">
        <v>2731</v>
      </c>
      <c r="D2551" s="4" t="str">
        <f>HYPERLINK("https://12go.asia/en/travel/shaoshan/hangzhou", "12Go Link")</f>
        <v>12Go Link</v>
      </c>
      <c r="E2551" s="3" t="s">
        <v>94</v>
      </c>
      <c r="K2551" s="5"/>
    </row>
    <row r="2552">
      <c r="A2552" s="3" t="s">
        <v>1309</v>
      </c>
      <c r="B2552" s="3" t="s">
        <v>1374</v>
      </c>
      <c r="C2552" s="3" t="s">
        <v>2732</v>
      </c>
      <c r="D2552" s="4" t="str">
        <f>HYPERLINK("https://12go.asia/en/travel/shaoshan-south/huaihua-south", "12Go Link")</f>
        <v>12Go Link</v>
      </c>
      <c r="E2552" s="3" t="s">
        <v>94</v>
      </c>
      <c r="K2552" s="5"/>
    </row>
    <row r="2553">
      <c r="A2553" s="3" t="s">
        <v>1309</v>
      </c>
      <c r="B2553" s="3" t="s">
        <v>1374</v>
      </c>
      <c r="C2553" s="3" t="s">
        <v>2733</v>
      </c>
      <c r="D2553" s="4" t="str">
        <f>HYPERLINK("https://12go.asia/en/travel/shaoshan/huaihua", "12Go Link")</f>
        <v>12Go Link</v>
      </c>
      <c r="E2553" s="3" t="s">
        <v>94</v>
      </c>
      <c r="K2553" s="5"/>
    </row>
    <row r="2554">
      <c r="A2554" s="3" t="s">
        <v>1309</v>
      </c>
      <c r="B2554" s="3" t="s">
        <v>542</v>
      </c>
      <c r="C2554" s="3" t="s">
        <v>2734</v>
      </c>
      <c r="D2554" s="4" t="str">
        <f>HYPERLINK("https://12go.asia/en/travel/shaoshan/jiaocheng", "12Go Link")</f>
        <v>12Go Link</v>
      </c>
      <c r="E2554" s="3" t="s">
        <v>94</v>
      </c>
      <c r="K2554" s="5"/>
    </row>
    <row r="2555">
      <c r="A2555" s="3" t="s">
        <v>1309</v>
      </c>
      <c r="B2555" s="3" t="s">
        <v>1529</v>
      </c>
      <c r="C2555" s="3" t="s">
        <v>2735</v>
      </c>
      <c r="D2555" s="4" t="str">
        <f>HYPERLINK("https://12go.asia/en/travel/shaoshan-south/kunming-south", "12Go Link")</f>
        <v>12Go Link</v>
      </c>
      <c r="E2555" s="3" t="s">
        <v>94</v>
      </c>
      <c r="K2555" s="5"/>
    </row>
    <row r="2556">
      <c r="A2556" s="3" t="s">
        <v>1309</v>
      </c>
      <c r="B2556" s="3" t="s">
        <v>1529</v>
      </c>
      <c r="C2556" s="3" t="s">
        <v>2736</v>
      </c>
      <c r="D2556" s="4" t="str">
        <f>HYPERLINK("https://12go.asia/en/travel/shaoshan/kunming", "12Go Link")</f>
        <v>12Go Link</v>
      </c>
      <c r="E2556" s="3" t="s">
        <v>94</v>
      </c>
      <c r="K2556" s="5"/>
    </row>
    <row r="2557">
      <c r="A2557" s="3" t="s">
        <v>1309</v>
      </c>
      <c r="B2557" s="3" t="s">
        <v>550</v>
      </c>
      <c r="C2557" s="3" t="s">
        <v>2737</v>
      </c>
      <c r="D2557" s="4" t="str">
        <f>HYPERLINK("https://12go.asia/en/travel/shaoshan/saihan", "12Go Link")</f>
        <v>12Go Link</v>
      </c>
      <c r="E2557" s="3" t="s">
        <v>94</v>
      </c>
      <c r="K2557" s="5"/>
    </row>
    <row r="2558">
      <c r="A2558" s="3" t="s">
        <v>1309</v>
      </c>
      <c r="B2558" s="3" t="s">
        <v>1312</v>
      </c>
      <c r="C2558" s="3" t="s">
        <v>2738</v>
      </c>
      <c r="D2558" s="4" t="str">
        <f>HYPERLINK("https://12go.asia/en/travel/shaoshan-south/shaoyang", "12Go Link")</f>
        <v>12Go Link</v>
      </c>
      <c r="E2558" s="3" t="s">
        <v>94</v>
      </c>
      <c r="K2558" s="5"/>
    </row>
    <row r="2559">
      <c r="A2559" s="3" t="s">
        <v>1309</v>
      </c>
      <c r="B2559" s="3" t="s">
        <v>1312</v>
      </c>
      <c r="C2559" s="3" t="s">
        <v>2739</v>
      </c>
      <c r="D2559" s="4" t="str">
        <f>HYPERLINK("https://12go.asia/en/travel/shaoshan/shaoyang", "12Go Link")</f>
        <v>12Go Link</v>
      </c>
      <c r="E2559" s="3" t="s">
        <v>94</v>
      </c>
      <c r="K2559" s="5"/>
    </row>
    <row r="2560">
      <c r="A2560" s="3" t="s">
        <v>1309</v>
      </c>
      <c r="B2560" s="3" t="s">
        <v>564</v>
      </c>
      <c r="C2560" s="3" t="s">
        <v>2740</v>
      </c>
      <c r="D2560" s="4" t="str">
        <f>HYPERLINK("https://12go.asia/en/travel/shaoshan/tianxin", "12Go Link")</f>
        <v>12Go Link</v>
      </c>
      <c r="E2560" s="3" t="s">
        <v>94</v>
      </c>
      <c r="K2560" s="5"/>
    </row>
    <row r="2561">
      <c r="A2561" s="3" t="s">
        <v>1309</v>
      </c>
      <c r="B2561" s="3" t="s">
        <v>712</v>
      </c>
      <c r="C2561" s="3" t="s">
        <v>2741</v>
      </c>
      <c r="D2561" s="4" t="str">
        <f>HYPERLINK("https://12go.asia/en/travel/shaoshan/xihu", "12Go Link")</f>
        <v>12Go Link</v>
      </c>
      <c r="E2561" s="3" t="s">
        <v>94</v>
      </c>
      <c r="K2561" s="5"/>
    </row>
    <row r="2562">
      <c r="A2562" s="3" t="s">
        <v>1309</v>
      </c>
      <c r="B2562" s="3" t="s">
        <v>1540</v>
      </c>
      <c r="C2562" s="3" t="s">
        <v>2742</v>
      </c>
      <c r="D2562" s="4" t="str">
        <f>HYPERLINK("https://12go.asia/en/travel/shaoshan/yunnan", "12Go Link")</f>
        <v>12Go Link</v>
      </c>
      <c r="E2562" s="3" t="s">
        <v>94</v>
      </c>
      <c r="K2562" s="5"/>
    </row>
    <row r="2563">
      <c r="A2563" s="3" t="s">
        <v>1309</v>
      </c>
      <c r="B2563" s="3" t="s">
        <v>1326</v>
      </c>
      <c r="C2563" s="3" t="s">
        <v>2743</v>
      </c>
      <c r="D2563" s="4" t="str">
        <f>HYPERLINK("https://12go.asia/en/travel/shaoshan-south/zhangjiajie-west", "12Go Link")</f>
        <v>12Go Link</v>
      </c>
      <c r="E2563" s="3" t="s">
        <v>94</v>
      </c>
      <c r="K2563" s="5"/>
    </row>
    <row r="2564">
      <c r="A2564" s="3" t="s">
        <v>1309</v>
      </c>
      <c r="B2564" s="3" t="s">
        <v>1326</v>
      </c>
      <c r="C2564" s="3" t="s">
        <v>2744</v>
      </c>
      <c r="D2564" s="4" t="str">
        <f>HYPERLINK("https://12go.asia/en/travel/shaoshan/zhangjiajie", "12Go Link")</f>
        <v>12Go Link</v>
      </c>
      <c r="E2564" s="3" t="s">
        <v>94</v>
      </c>
      <c r="K2564" s="5"/>
    </row>
    <row r="2565">
      <c r="A2565" s="3" t="s">
        <v>1309</v>
      </c>
      <c r="B2565" s="3" t="s">
        <v>1021</v>
      </c>
      <c r="C2565" s="3" t="s">
        <v>2745</v>
      </c>
      <c r="D2565" s="4" t="str">
        <f>HYPERLINK("https://12go.asia/en/travel/shaoshan/zhejiang", "12Go Link")</f>
        <v>12Go Link</v>
      </c>
      <c r="E2565" s="3" t="s">
        <v>94</v>
      </c>
      <c r="K2565" s="5"/>
    </row>
    <row r="2566">
      <c r="A2566" s="3" t="s">
        <v>1312</v>
      </c>
      <c r="B2566" s="3" t="s">
        <v>1273</v>
      </c>
      <c r="C2566" s="3" t="s">
        <v>2746</v>
      </c>
      <c r="D2566" s="4" t="str">
        <f>HYPERLINK("https://12go.asia/en/travel/shaoyang/chenzhou", "12Go Link")</f>
        <v>12Go Link</v>
      </c>
      <c r="E2566" s="3" t="s">
        <v>94</v>
      </c>
      <c r="K2566" s="5"/>
    </row>
    <row r="2567">
      <c r="A2567" s="3" t="s">
        <v>1312</v>
      </c>
      <c r="B2567" s="3" t="s">
        <v>1273</v>
      </c>
      <c r="C2567" s="3" t="s">
        <v>2747</v>
      </c>
      <c r="D2567" s="4" t="str">
        <f>HYPERLINK("https://12go.asia/en/travel/shaoyang/chenzhou-west", "12Go Link")</f>
        <v>12Go Link</v>
      </c>
      <c r="E2567" s="3" t="s">
        <v>94</v>
      </c>
      <c r="K2567" s="5"/>
    </row>
    <row r="2568">
      <c r="A2568" s="3" t="s">
        <v>1312</v>
      </c>
      <c r="B2568" s="3" t="s">
        <v>1333</v>
      </c>
      <c r="C2568" s="3" t="s">
        <v>2748</v>
      </c>
      <c r="D2568" s="4" t="str">
        <f>HYPERLINK("https://12go.asia/en/travel/shaoyang/chongqing", "12Go Link")</f>
        <v>12Go Link</v>
      </c>
      <c r="E2568" s="3" t="s">
        <v>94</v>
      </c>
      <c r="K2568" s="5"/>
    </row>
    <row r="2569">
      <c r="A2569" s="3" t="s">
        <v>1312</v>
      </c>
      <c r="B2569" s="3" t="s">
        <v>1333</v>
      </c>
      <c r="C2569" s="3" t="s">
        <v>2749</v>
      </c>
      <c r="D2569" s="4" t="str">
        <f>HYPERLINK("https://12go.asia/en/travel/shaoyang/chongqing-north", "12Go Link")</f>
        <v>12Go Link</v>
      </c>
      <c r="E2569" s="3" t="s">
        <v>94</v>
      </c>
      <c r="K2569" s="5"/>
    </row>
    <row r="2570">
      <c r="A2570" s="3" t="s">
        <v>1312</v>
      </c>
      <c r="B2570" s="3" t="s">
        <v>1333</v>
      </c>
      <c r="C2570" s="3" t="s">
        <v>2750</v>
      </c>
      <c r="D2570" s="4" t="str">
        <f>HYPERLINK("https://12go.asia/en/travel/shaoyang/chongqing-west", "12Go Link")</f>
        <v>12Go Link</v>
      </c>
      <c r="E2570" s="3" t="s">
        <v>94</v>
      </c>
      <c r="K2570" s="5"/>
    </row>
    <row r="2571">
      <c r="A2571" s="3" t="s">
        <v>1312</v>
      </c>
      <c r="B2571" s="3" t="s">
        <v>1366</v>
      </c>
      <c r="C2571" s="3" t="s">
        <v>2751</v>
      </c>
      <c r="D2571" s="4" t="str">
        <f>HYPERLINK("https://12go.asia/en/travel/shaoyang/guangzhou-south", "12Go Link")</f>
        <v>12Go Link</v>
      </c>
      <c r="E2571" s="3" t="s">
        <v>94</v>
      </c>
      <c r="K2571" s="5"/>
    </row>
    <row r="2572">
      <c r="A2572" s="3" t="s">
        <v>1312</v>
      </c>
      <c r="B2572" s="3" t="s">
        <v>1033</v>
      </c>
      <c r="C2572" s="3" t="s">
        <v>2752</v>
      </c>
      <c r="D2572" s="4" t="str">
        <f>HYPERLINK("https://12go.asia/en/travel/shaoyang/henan", "12Go Link")</f>
        <v>12Go Link</v>
      </c>
      <c r="E2572" s="3" t="s">
        <v>94</v>
      </c>
      <c r="K2572" s="5"/>
    </row>
    <row r="2573">
      <c r="A2573" s="3" t="s">
        <v>1312</v>
      </c>
      <c r="B2573" s="3" t="s">
        <v>1374</v>
      </c>
      <c r="C2573" s="3" t="s">
        <v>2753</v>
      </c>
      <c r="D2573" s="4" t="str">
        <f>HYPERLINK("https://12go.asia/en/travel/shaoyang/huaihua", "12Go Link")</f>
        <v>12Go Link</v>
      </c>
      <c r="E2573" s="3" t="s">
        <v>94</v>
      </c>
      <c r="K2573" s="5"/>
    </row>
    <row r="2574">
      <c r="A2574" s="3" t="s">
        <v>1312</v>
      </c>
      <c r="B2574" s="3" t="s">
        <v>1374</v>
      </c>
      <c r="C2574" s="3" t="s">
        <v>2754</v>
      </c>
      <c r="D2574" s="4" t="str">
        <f>HYPERLINK("https://12go.asia/en/travel/shaoyang/huaihua-south", "12Go Link")</f>
        <v>12Go Link</v>
      </c>
      <c r="E2574" s="3" t="s">
        <v>94</v>
      </c>
      <c r="K2574" s="5"/>
    </row>
    <row r="2575">
      <c r="A2575" s="3" t="s">
        <v>1312</v>
      </c>
      <c r="B2575" s="3" t="s">
        <v>632</v>
      </c>
      <c r="C2575" s="3" t="s">
        <v>2755</v>
      </c>
      <c r="D2575" s="4" t="str">
        <f>HYPERLINK("https://12go.asia/en/travel/shaoyang/guangzhoubaiyun", "12Go Link")</f>
        <v>12Go Link</v>
      </c>
      <c r="E2575" s="3" t="s">
        <v>94</v>
      </c>
      <c r="K2575" s="5"/>
    </row>
    <row r="2576">
      <c r="A2576" s="3" t="s">
        <v>1312</v>
      </c>
      <c r="B2576" s="3" t="s">
        <v>632</v>
      </c>
      <c r="C2576" s="3" t="s">
        <v>2756</v>
      </c>
      <c r="D2576" s="4" t="str">
        <f>HYPERLINK("https://12go.asia/en/travel/shaoyang/huaxi", "12Go Link")</f>
        <v>12Go Link</v>
      </c>
      <c r="E2576" s="3" t="s">
        <v>94</v>
      </c>
      <c r="K2576" s="5"/>
    </row>
    <row r="2577">
      <c r="A2577" s="3" t="s">
        <v>1312</v>
      </c>
      <c r="B2577" s="3" t="s">
        <v>636</v>
      </c>
      <c r="C2577" s="3" t="s">
        <v>2757</v>
      </c>
      <c r="D2577" s="4" t="str">
        <f>HYPERLINK("https://12go.asia/en/travel/shaoyang/humen", "12Go Link")</f>
        <v>12Go Link</v>
      </c>
      <c r="E2577" s="3" t="s">
        <v>94</v>
      </c>
      <c r="K2577" s="5"/>
    </row>
    <row r="2578">
      <c r="A2578" s="3" t="s">
        <v>1312</v>
      </c>
      <c r="B2578" s="3" t="s">
        <v>636</v>
      </c>
      <c r="C2578" s="3" t="s">
        <v>2758</v>
      </c>
      <c r="D2578" s="4" t="str">
        <f>HYPERLINK("https://12go.asia/en/travel/shaoyang/humen-town", "12Go Link")</f>
        <v>12Go Link</v>
      </c>
      <c r="E2578" s="3" t="s">
        <v>94</v>
      </c>
      <c r="K2578" s="5"/>
    </row>
    <row r="2579">
      <c r="A2579" s="3" t="s">
        <v>1312</v>
      </c>
      <c r="B2579" s="3" t="s">
        <v>643</v>
      </c>
      <c r="C2579" s="3" t="s">
        <v>2759</v>
      </c>
      <c r="D2579" s="4" t="str">
        <f>HYPERLINK("https://12go.asia/en/travel/shaoyang/jiangning", "12Go Link")</f>
        <v>12Go Link</v>
      </c>
      <c r="E2579" s="3" t="s">
        <v>94</v>
      </c>
      <c r="K2579" s="5"/>
    </row>
    <row r="2580">
      <c r="A2580" s="3" t="s">
        <v>1312</v>
      </c>
      <c r="B2580" s="3" t="s">
        <v>763</v>
      </c>
      <c r="C2580" s="3" t="s">
        <v>2760</v>
      </c>
      <c r="D2580" s="4" t="str">
        <f>HYPERLINK("https://12go.asia/en/travel/shaoyang/jiangsu", "12Go Link")</f>
        <v>12Go Link</v>
      </c>
      <c r="E2580" s="3" t="s">
        <v>94</v>
      </c>
      <c r="K2580" s="5"/>
    </row>
    <row r="2581">
      <c r="A2581" s="3" t="s">
        <v>1312</v>
      </c>
      <c r="B2581" s="3" t="s">
        <v>542</v>
      </c>
      <c r="C2581" s="3" t="s">
        <v>2761</v>
      </c>
      <c r="D2581" s="4" t="str">
        <f>HYPERLINK("https://12go.asia/en/travel/shaoyang/jiaocheng", "12Go Link")</f>
        <v>12Go Link</v>
      </c>
      <c r="E2581" s="3" t="s">
        <v>94</v>
      </c>
      <c r="K2581" s="5"/>
    </row>
    <row r="2582">
      <c r="A2582" s="3" t="s">
        <v>1312</v>
      </c>
      <c r="B2582" s="3" t="s">
        <v>655</v>
      </c>
      <c r="C2582" s="3" t="s">
        <v>2762</v>
      </c>
      <c r="D2582" s="4" t="str">
        <f>HYPERLINK("https://12go.asia/en/travel/shaoyang/jiaxiang", "12Go Link")</f>
        <v>12Go Link</v>
      </c>
      <c r="E2582" s="3" t="s">
        <v>94</v>
      </c>
      <c r="K2582" s="5"/>
    </row>
    <row r="2583">
      <c r="A2583" s="3" t="s">
        <v>1312</v>
      </c>
      <c r="B2583" s="3" t="s">
        <v>1529</v>
      </c>
      <c r="C2583" s="3" t="s">
        <v>2763</v>
      </c>
      <c r="D2583" s="4" t="str">
        <f>HYPERLINK("https://12go.asia/en/travel/shaoyang/kunming", "12Go Link")</f>
        <v>12Go Link</v>
      </c>
      <c r="E2583" s="3" t="s">
        <v>94</v>
      </c>
      <c r="K2583" s="5"/>
    </row>
    <row r="2584">
      <c r="A2584" s="3" t="s">
        <v>1312</v>
      </c>
      <c r="B2584" s="3" t="s">
        <v>1529</v>
      </c>
      <c r="C2584" s="3" t="s">
        <v>2764</v>
      </c>
      <c r="D2584" s="4" t="str">
        <f>HYPERLINK("https://12go.asia/en/travel/shaoyang/kunming-south", "12Go Link")</f>
        <v>12Go Link</v>
      </c>
      <c r="E2584" s="3" t="s">
        <v>94</v>
      </c>
      <c r="K2584" s="5"/>
    </row>
    <row r="2585">
      <c r="A2585" s="3" t="s">
        <v>1312</v>
      </c>
      <c r="B2585" s="3" t="s">
        <v>679</v>
      </c>
      <c r="C2585" s="3" t="s">
        <v>2765</v>
      </c>
      <c r="D2585" s="4" t="str">
        <f>HYPERLINK("https://12go.asia/en/travel/shaoyang/mingxi", "12Go Link")</f>
        <v>12Go Link</v>
      </c>
      <c r="E2585" s="3" t="s">
        <v>94</v>
      </c>
      <c r="K2585" s="5"/>
    </row>
    <row r="2586">
      <c r="A2586" s="3" t="s">
        <v>1312</v>
      </c>
      <c r="B2586" s="3" t="s">
        <v>874</v>
      </c>
      <c r="C2586" s="3" t="s">
        <v>2766</v>
      </c>
      <c r="D2586" s="4" t="str">
        <f>HYPERLINK("https://12go.asia/en/travel/shaoyang/nanchang", "12Go Link")</f>
        <v>12Go Link</v>
      </c>
      <c r="E2586" s="3" t="s">
        <v>94</v>
      </c>
      <c r="K2586" s="5"/>
    </row>
    <row r="2587">
      <c r="A2587" s="3" t="s">
        <v>1312</v>
      </c>
      <c r="B2587" s="3" t="s">
        <v>874</v>
      </c>
      <c r="C2587" s="3" t="s">
        <v>2767</v>
      </c>
      <c r="D2587" s="4" t="str">
        <f>HYPERLINK("https://12go.asia/en/travel/shaoyang/nanchang-west", "12Go Link")</f>
        <v>12Go Link</v>
      </c>
      <c r="E2587" s="3" t="s">
        <v>94</v>
      </c>
      <c r="K2587" s="5"/>
    </row>
    <row r="2588">
      <c r="A2588" s="3" t="s">
        <v>1312</v>
      </c>
      <c r="B2588" s="3" t="s">
        <v>769</v>
      </c>
      <c r="C2588" s="3" t="s">
        <v>2768</v>
      </c>
      <c r="D2588" s="4" t="str">
        <f>HYPERLINK("https://12go.asia/en/travel/shaoyang/nanjing", "12Go Link")</f>
        <v>12Go Link</v>
      </c>
      <c r="E2588" s="3" t="s">
        <v>94</v>
      </c>
      <c r="K2588" s="5"/>
    </row>
    <row r="2589">
      <c r="A2589" s="3" t="s">
        <v>1312</v>
      </c>
      <c r="B2589" s="3" t="s">
        <v>769</v>
      </c>
      <c r="C2589" s="3" t="s">
        <v>2769</v>
      </c>
      <c r="D2589" s="4" t="str">
        <f>HYPERLINK("https://12go.asia/en/travel/shaoyang/nanjing-south", "12Go Link")</f>
        <v>12Go Link</v>
      </c>
      <c r="E2589" s="3" t="s">
        <v>94</v>
      </c>
      <c r="K2589" s="5"/>
    </row>
    <row r="2590">
      <c r="A2590" s="3" t="s">
        <v>1312</v>
      </c>
      <c r="B2590" s="3" t="s">
        <v>1534</v>
      </c>
      <c r="C2590" s="3" t="s">
        <v>2770</v>
      </c>
      <c r="D2590" s="4" t="str">
        <f>HYPERLINK("https://12go.asia/en/travel/shaoyang/nanning", "12Go Link")</f>
        <v>12Go Link</v>
      </c>
      <c r="E2590" s="3" t="s">
        <v>94</v>
      </c>
      <c r="K2590" s="5"/>
    </row>
    <row r="2591">
      <c r="A2591" s="3" t="s">
        <v>1312</v>
      </c>
      <c r="B2591" s="3" t="s">
        <v>1534</v>
      </c>
      <c r="C2591" s="3" t="s">
        <v>2771</v>
      </c>
      <c r="D2591" s="4" t="str">
        <f>HYPERLINK("https://12go.asia/en/travel/shaoyang/nanning-east", "12Go Link")</f>
        <v>12Go Link</v>
      </c>
      <c r="E2591" s="3" t="s">
        <v>94</v>
      </c>
      <c r="K2591" s="5"/>
    </row>
    <row r="2592">
      <c r="A2592" s="3" t="s">
        <v>1312</v>
      </c>
      <c r="B2592" s="3" t="s">
        <v>914</v>
      </c>
      <c r="C2592" s="3" t="s">
        <v>2772</v>
      </c>
      <c r="D2592" s="4" t="str">
        <f>HYPERLINK("https://12go.asia/en/travel/shaoyang/pujiangzhen", "12Go Link")</f>
        <v>12Go Link</v>
      </c>
      <c r="E2592" s="3" t="s">
        <v>94</v>
      </c>
      <c r="K2592" s="5"/>
    </row>
    <row r="2593">
      <c r="A2593" s="3" t="s">
        <v>1312</v>
      </c>
      <c r="B2593" s="3" t="s">
        <v>550</v>
      </c>
      <c r="C2593" s="3" t="s">
        <v>2773</v>
      </c>
      <c r="D2593" s="4" t="str">
        <f>HYPERLINK("https://12go.asia/en/travel/shaoyang/saihan", "12Go Link")</f>
        <v>12Go Link</v>
      </c>
      <c r="E2593" s="3" t="s">
        <v>94</v>
      </c>
      <c r="K2593" s="5"/>
    </row>
    <row r="2594">
      <c r="A2594" s="3" t="s">
        <v>1312</v>
      </c>
      <c r="B2594" s="3" t="s">
        <v>512</v>
      </c>
      <c r="C2594" s="3" t="s">
        <v>2774</v>
      </c>
      <c r="D2594" s="4" t="str">
        <f>HYPERLINK("https://12go.asia/en/travel/shaoyang/shanghai", "12Go Link")</f>
        <v>12Go Link</v>
      </c>
      <c r="E2594" s="3" t="s">
        <v>94</v>
      </c>
      <c r="K2594" s="5"/>
    </row>
    <row r="2595">
      <c r="A2595" s="3" t="s">
        <v>1312</v>
      </c>
      <c r="B2595" s="3" t="s">
        <v>512</v>
      </c>
      <c r="C2595" s="3" t="s">
        <v>2775</v>
      </c>
      <c r="D2595" s="4" t="str">
        <f>HYPERLINK("https://12go.asia/en/travel/shaoyang/shanghai-hongqiao", "12Go Link")</f>
        <v>12Go Link</v>
      </c>
      <c r="E2595" s="3" t="s">
        <v>94</v>
      </c>
      <c r="K2595" s="5"/>
    </row>
    <row r="2596">
      <c r="A2596" s="3" t="s">
        <v>1312</v>
      </c>
      <c r="B2596" s="3" t="s">
        <v>512</v>
      </c>
      <c r="C2596" s="3" t="s">
        <v>2776</v>
      </c>
      <c r="D2596" s="4" t="str">
        <f>HYPERLINK("https://12go.asia/en/travel/shaoyang/shanghai-south", "12Go Link")</f>
        <v>12Go Link</v>
      </c>
      <c r="E2596" s="3" t="s">
        <v>94</v>
      </c>
      <c r="K2596" s="5"/>
    </row>
    <row r="2597">
      <c r="A2597" s="3" t="s">
        <v>1312</v>
      </c>
      <c r="B2597" s="3" t="s">
        <v>1256</v>
      </c>
      <c r="C2597" s="3" t="s">
        <v>2777</v>
      </c>
      <c r="D2597" s="4" t="str">
        <f>HYPERLINK("https://12go.asia/en/travel/shaoyang/suzhou", "12Go Link")</f>
        <v>12Go Link</v>
      </c>
      <c r="E2597" s="3" t="s">
        <v>94</v>
      </c>
      <c r="K2597" s="5"/>
    </row>
    <row r="2598">
      <c r="A2598" s="3" t="s">
        <v>1312</v>
      </c>
      <c r="B2598" s="3" t="s">
        <v>564</v>
      </c>
      <c r="C2598" s="3" t="s">
        <v>2778</v>
      </c>
      <c r="D2598" s="4" t="str">
        <f>HYPERLINK("https://12go.asia/en/travel/shaoyang/tianxin", "12Go Link")</f>
        <v>12Go Link</v>
      </c>
      <c r="E2598" s="3" t="s">
        <v>94</v>
      </c>
      <c r="K2598" s="5"/>
    </row>
    <row r="2599">
      <c r="A2599" s="3" t="s">
        <v>1312</v>
      </c>
      <c r="B2599" s="3" t="s">
        <v>712</v>
      </c>
      <c r="C2599" s="3" t="s">
        <v>2779</v>
      </c>
      <c r="D2599" s="4" t="str">
        <f>HYPERLINK("https://12go.asia/en/travel/shaoyang/xihu", "12Go Link")</f>
        <v>12Go Link</v>
      </c>
      <c r="E2599" s="3" t="s">
        <v>94</v>
      </c>
      <c r="K2599" s="5"/>
    </row>
    <row r="2600">
      <c r="A2600" s="3" t="s">
        <v>1312</v>
      </c>
      <c r="B2600" s="3" t="s">
        <v>1540</v>
      </c>
      <c r="C2600" s="3" t="s">
        <v>2780</v>
      </c>
      <c r="D2600" s="4" t="str">
        <f>HYPERLINK("https://12go.asia/en/travel/shaoyang/yunnan", "12Go Link")</f>
        <v>12Go Link</v>
      </c>
      <c r="E2600" s="3" t="s">
        <v>94</v>
      </c>
      <c r="K2600" s="5"/>
    </row>
    <row r="2601">
      <c r="A2601" s="3" t="s">
        <v>1312</v>
      </c>
      <c r="B2601" s="3" t="s">
        <v>1326</v>
      </c>
      <c r="C2601" s="3" t="s">
        <v>2781</v>
      </c>
      <c r="D2601" s="4" t="str">
        <f>HYPERLINK("https://12go.asia/en/travel/shaoyang/zhangjiajie", "12Go Link")</f>
        <v>12Go Link</v>
      </c>
      <c r="E2601" s="3" t="s">
        <v>94</v>
      </c>
      <c r="K2601" s="5"/>
    </row>
    <row r="2602">
      <c r="A2602" s="3" t="s">
        <v>1312</v>
      </c>
      <c r="B2602" s="3" t="s">
        <v>1326</v>
      </c>
      <c r="C2602" s="3" t="s">
        <v>2782</v>
      </c>
      <c r="D2602" s="4" t="str">
        <f>HYPERLINK("https://12go.asia/en/travel/shaoyang/zhangjiajie-west", "12Go Link")</f>
        <v>12Go Link</v>
      </c>
      <c r="E2602" s="3" t="s">
        <v>94</v>
      </c>
      <c r="K2602" s="5"/>
    </row>
    <row r="2603">
      <c r="A2603" s="3" t="s">
        <v>1312</v>
      </c>
      <c r="B2603" s="3" t="s">
        <v>1021</v>
      </c>
      <c r="C2603" s="3" t="s">
        <v>2783</v>
      </c>
      <c r="D2603" s="4" t="str">
        <f>HYPERLINK("https://12go.asia/en/travel/shaoyang/zhejiang", "12Go Link")</f>
        <v>12Go Link</v>
      </c>
      <c r="E2603" s="3" t="s">
        <v>94</v>
      </c>
      <c r="K2603" s="5"/>
    </row>
    <row r="2604">
      <c r="A2604" s="3" t="s">
        <v>2784</v>
      </c>
      <c r="B2604" s="3" t="s">
        <v>620</v>
      </c>
      <c r="C2604" s="3" t="s">
        <v>2785</v>
      </c>
      <c r="D2604" s="4" t="str">
        <f>HYPERLINK("https://12go.asia/en/travel/shekou/hengqin-island", "12Go Link")</f>
        <v>12Go Link</v>
      </c>
      <c r="E2604" s="3" t="s">
        <v>1867</v>
      </c>
      <c r="K2604" s="5"/>
    </row>
    <row r="2605">
      <c r="A2605" s="3" t="s">
        <v>2784</v>
      </c>
      <c r="B2605" s="3" t="s">
        <v>720</v>
      </c>
      <c r="C2605" s="3" t="s">
        <v>2786</v>
      </c>
      <c r="D2605" s="4" t="str">
        <f>HYPERLINK("https://12go.asia/en/travel/shekou/yangchun", "12Go Link")</f>
        <v>12Go Link</v>
      </c>
      <c r="E2605" s="3" t="s">
        <v>1867</v>
      </c>
      <c r="K2605" s="5"/>
    </row>
    <row r="2606">
      <c r="A2606" s="3" t="s">
        <v>2787</v>
      </c>
      <c r="B2606" s="3" t="s">
        <v>801</v>
      </c>
      <c r="C2606" s="3" t="s">
        <v>2788</v>
      </c>
      <c r="D2606" s="4" t="str">
        <f>HYPERLINK("https://12go.asia/en/travel/shenmu/xian", "12Go Link")</f>
        <v>12Go Link</v>
      </c>
      <c r="E2606" s="3" t="s">
        <v>94</v>
      </c>
      <c r="K2606" s="5"/>
    </row>
    <row r="2607">
      <c r="A2607" s="3" t="s">
        <v>554</v>
      </c>
      <c r="B2607" s="3" t="s">
        <v>515</v>
      </c>
      <c r="C2607" s="3" t="s">
        <v>2789</v>
      </c>
      <c r="D2607" s="4" t="str">
        <f>HYPERLINK("https://12go.asia/en/travel/shenyang-north/anyang", "12Go Link")</f>
        <v>12Go Link</v>
      </c>
      <c r="E2607" s="3" t="s">
        <v>94</v>
      </c>
      <c r="K2607" s="5"/>
    </row>
    <row r="2608">
      <c r="A2608" s="3" t="s">
        <v>554</v>
      </c>
      <c r="B2608" s="3" t="s">
        <v>515</v>
      </c>
      <c r="C2608" s="3" t="s">
        <v>2790</v>
      </c>
      <c r="D2608" s="4" t="str">
        <f>HYPERLINK("https://12go.asia/en/travel/shenyang-north/anyang-east", "12Go Link")</f>
        <v>12Go Link</v>
      </c>
      <c r="E2608" s="3" t="s">
        <v>94</v>
      </c>
      <c r="K2608" s="5"/>
    </row>
    <row r="2609">
      <c r="A2609" s="3" t="s">
        <v>554</v>
      </c>
      <c r="B2609" s="3" t="s">
        <v>515</v>
      </c>
      <c r="C2609" s="3" t="s">
        <v>2791</v>
      </c>
      <c r="D2609" s="4" t="str">
        <f>HYPERLINK("https://12go.asia/en/travel/shenyang/anyang", "12Go Link")</f>
        <v>12Go Link</v>
      </c>
      <c r="E2609" s="3" t="s">
        <v>94</v>
      </c>
      <c r="K2609" s="5"/>
    </row>
    <row r="2610">
      <c r="A2610" s="3" t="s">
        <v>554</v>
      </c>
      <c r="B2610" s="3" t="s">
        <v>515</v>
      </c>
      <c r="C2610" s="3" t="s">
        <v>2792</v>
      </c>
      <c r="D2610" s="4" t="str">
        <f>HYPERLINK("https://12go.asia/en/travel/shenyang/anyang-east", "12Go Link")</f>
        <v>12Go Link</v>
      </c>
      <c r="E2610" s="3" t="s">
        <v>94</v>
      </c>
      <c r="K2610" s="5"/>
    </row>
    <row r="2611">
      <c r="A2611" s="3" t="s">
        <v>554</v>
      </c>
      <c r="B2611" s="3" t="s">
        <v>587</v>
      </c>
      <c r="C2611" s="3" t="s">
        <v>2793</v>
      </c>
      <c r="D2611" s="4" t="str">
        <f>HYPERLINK("https://12go.asia/en/travel/shenyang-north/baoding", "12Go Link")</f>
        <v>12Go Link</v>
      </c>
      <c r="E2611" s="3" t="s">
        <v>94</v>
      </c>
      <c r="K2611" s="5"/>
    </row>
    <row r="2612">
      <c r="A2612" s="3" t="s">
        <v>554</v>
      </c>
      <c r="B2612" s="3" t="s">
        <v>587</v>
      </c>
      <c r="C2612" s="3" t="s">
        <v>2794</v>
      </c>
      <c r="D2612" s="4" t="str">
        <f>HYPERLINK("https://12go.asia/en/travel/shenyang-south/wulongbei-east", "12Go Link")</f>
        <v>12Go Link</v>
      </c>
      <c r="E2612" s="3" t="s">
        <v>94</v>
      </c>
      <c r="K2612" s="5"/>
    </row>
    <row r="2613">
      <c r="A2613" s="3" t="s">
        <v>554</v>
      </c>
      <c r="B2613" s="3" t="s">
        <v>587</v>
      </c>
      <c r="C2613" s="3" t="s">
        <v>2795</v>
      </c>
      <c r="D2613" s="4" t="str">
        <f>HYPERLINK("https://12go.asia/en/travel/shenyang/baoding", "12Go Link")</f>
        <v>12Go Link</v>
      </c>
      <c r="E2613" s="3" t="s">
        <v>94</v>
      </c>
      <c r="K2613" s="5"/>
    </row>
    <row r="2614">
      <c r="A2614" s="3" t="s">
        <v>554</v>
      </c>
      <c r="B2614" s="3" t="s">
        <v>755</v>
      </c>
      <c r="C2614" s="3" t="s">
        <v>2796</v>
      </c>
      <c r="D2614" s="4" t="str">
        <f>HYPERLINK("https://12go.asia/en/travel/shenyang-north/hangzhou-west", "12Go Link")</f>
        <v>12Go Link</v>
      </c>
      <c r="E2614" s="3" t="s">
        <v>94</v>
      </c>
      <c r="K2614" s="5"/>
    </row>
    <row r="2615">
      <c r="A2615" s="3" t="s">
        <v>554</v>
      </c>
      <c r="B2615" s="3" t="s">
        <v>758</v>
      </c>
      <c r="C2615" s="3" t="s">
        <v>2797</v>
      </c>
      <c r="D2615" s="4" t="str">
        <f>HYPERLINK("https://12go.asia/en/travel/shenyang-north/heze", "12Go Link")</f>
        <v>12Go Link</v>
      </c>
      <c r="E2615" s="3" t="s">
        <v>94</v>
      </c>
      <c r="K2615" s="5"/>
    </row>
    <row r="2616">
      <c r="A2616" s="3" t="s">
        <v>554</v>
      </c>
      <c r="B2616" s="3" t="s">
        <v>758</v>
      </c>
      <c r="C2616" s="3" t="s">
        <v>2798</v>
      </c>
      <c r="D2616" s="4" t="str">
        <f>HYPERLINK("https://12go.asia/en/travel/shenyang-north/heze-east-railway-station", "12Go Link")</f>
        <v>12Go Link</v>
      </c>
      <c r="E2616" s="3" t="s">
        <v>94</v>
      </c>
      <c r="K2616" s="5"/>
    </row>
    <row r="2617">
      <c r="A2617" s="3" t="s">
        <v>554</v>
      </c>
      <c r="B2617" s="3" t="s">
        <v>758</v>
      </c>
      <c r="C2617" s="3" t="s">
        <v>2799</v>
      </c>
      <c r="D2617" s="4" t="str">
        <f>HYPERLINK("https://12go.asia/en/travel/shenyang/heze", "12Go Link")</f>
        <v>12Go Link</v>
      </c>
      <c r="E2617" s="3" t="s">
        <v>94</v>
      </c>
      <c r="K2617" s="5"/>
    </row>
    <row r="2618">
      <c r="A2618" s="3" t="s">
        <v>554</v>
      </c>
      <c r="B2618" s="3" t="s">
        <v>1246</v>
      </c>
      <c r="C2618" s="3" t="s">
        <v>2800</v>
      </c>
      <c r="D2618" s="4" t="str">
        <f>HYPERLINK("https://12go.asia/en/travel/shenyang-north/lianyungang", "12Go Link")</f>
        <v>12Go Link</v>
      </c>
      <c r="E2618" s="3" t="s">
        <v>94</v>
      </c>
      <c r="K2618" s="5"/>
    </row>
    <row r="2619">
      <c r="A2619" s="3" t="s">
        <v>554</v>
      </c>
      <c r="B2619" s="3" t="s">
        <v>1246</v>
      </c>
      <c r="C2619" s="3" t="s">
        <v>2801</v>
      </c>
      <c r="D2619" s="4" t="str">
        <f>HYPERLINK("https://12go.asia/en/travel/shenyang/lianyungang", "12Go Link")</f>
        <v>12Go Link</v>
      </c>
      <c r="E2619" s="3" t="s">
        <v>94</v>
      </c>
      <c r="K2619" s="5"/>
    </row>
    <row r="2620">
      <c r="A2620" s="3" t="s">
        <v>554</v>
      </c>
      <c r="B2620" s="3" t="s">
        <v>2129</v>
      </c>
      <c r="C2620" s="3" t="s">
        <v>2802</v>
      </c>
      <c r="D2620" s="4" t="str">
        <f>HYPERLINK("https://12go.asia/en/travel/shenyang-north/songyuan", "12Go Link")</f>
        <v>12Go Link</v>
      </c>
      <c r="E2620" s="3" t="s">
        <v>94</v>
      </c>
      <c r="K2620" s="5"/>
    </row>
    <row r="2621">
      <c r="A2621" s="3" t="s">
        <v>554</v>
      </c>
      <c r="B2621" s="3" t="s">
        <v>2129</v>
      </c>
      <c r="C2621" s="3" t="s">
        <v>2803</v>
      </c>
      <c r="D2621" s="4" t="str">
        <f>HYPERLINK("https://12go.asia/en/travel/shenyang/songyuan", "12Go Link")</f>
        <v>12Go Link</v>
      </c>
      <c r="E2621" s="3" t="s">
        <v>94</v>
      </c>
      <c r="K2621" s="5"/>
    </row>
    <row r="2622">
      <c r="A2622" s="3" t="s">
        <v>554</v>
      </c>
      <c r="B2622" s="3" t="s">
        <v>883</v>
      </c>
      <c r="C2622" s="3" t="s">
        <v>2804</v>
      </c>
      <c r="D2622" s="4" t="str">
        <f>HYPERLINK("https://12go.asia/en/travel/shenyang-north/taian", "12Go Link")</f>
        <v>12Go Link</v>
      </c>
      <c r="E2622" s="3" t="s">
        <v>94</v>
      </c>
      <c r="K2622" s="5"/>
    </row>
    <row r="2623">
      <c r="A2623" s="3" t="s">
        <v>554</v>
      </c>
      <c r="B2623" s="3" t="s">
        <v>883</v>
      </c>
      <c r="C2623" s="3" t="s">
        <v>2805</v>
      </c>
      <c r="D2623" s="4" t="str">
        <f>HYPERLINK("https://12go.asia/en/travel/shenyang-south/taian", "12Go Link")</f>
        <v>12Go Link</v>
      </c>
      <c r="E2623" s="3" t="s">
        <v>94</v>
      </c>
      <c r="K2623" s="5"/>
    </row>
    <row r="2624">
      <c r="A2624" s="3" t="s">
        <v>554</v>
      </c>
      <c r="B2624" s="3" t="s">
        <v>883</v>
      </c>
      <c r="C2624" s="3" t="s">
        <v>2806</v>
      </c>
      <c r="D2624" s="4" t="str">
        <f>HYPERLINK("https://12go.asia/en/travel/shenyang/taian", "12Go Link")</f>
        <v>12Go Link</v>
      </c>
      <c r="E2624" s="3" t="s">
        <v>94</v>
      </c>
      <c r="K2624" s="5"/>
    </row>
    <row r="2625">
      <c r="A2625" s="3" t="s">
        <v>554</v>
      </c>
      <c r="B2625" s="3" t="s">
        <v>790</v>
      </c>
      <c r="C2625" s="3" t="s">
        <v>2807</v>
      </c>
      <c r="D2625" s="4" t="str">
        <f>HYPERLINK("https://12go.asia/en/travel/shenyang-north/weifang", "12Go Link")</f>
        <v>12Go Link</v>
      </c>
      <c r="E2625" s="3" t="s">
        <v>94</v>
      </c>
      <c r="K2625" s="5"/>
    </row>
    <row r="2626">
      <c r="A2626" s="3" t="s">
        <v>554</v>
      </c>
      <c r="B2626" s="3" t="s">
        <v>790</v>
      </c>
      <c r="C2626" s="3" t="s">
        <v>2808</v>
      </c>
      <c r="D2626" s="4" t="str">
        <f>HYPERLINK("https://12go.asia/en/travel/shenyang-north/weifang-north", "12Go Link")</f>
        <v>12Go Link</v>
      </c>
      <c r="E2626" s="3" t="s">
        <v>94</v>
      </c>
      <c r="K2626" s="5"/>
    </row>
    <row r="2627">
      <c r="A2627" s="3" t="s">
        <v>554</v>
      </c>
      <c r="B2627" s="3" t="s">
        <v>790</v>
      </c>
      <c r="C2627" s="3" t="s">
        <v>2809</v>
      </c>
      <c r="D2627" s="4" t="str">
        <f>HYPERLINK("https://12go.asia/en/travel/shenyang/weifang", "12Go Link")</f>
        <v>12Go Link</v>
      </c>
      <c r="E2627" s="3" t="s">
        <v>94</v>
      </c>
      <c r="K2627" s="5"/>
    </row>
    <row r="2628">
      <c r="A2628" s="3" t="s">
        <v>554</v>
      </c>
      <c r="B2628" s="3" t="s">
        <v>790</v>
      </c>
      <c r="C2628" s="3" t="s">
        <v>2810</v>
      </c>
      <c r="D2628" s="4" t="str">
        <f>HYPERLINK("https://12go.asia/en/travel/shenyang/weifang-north", "12Go Link")</f>
        <v>12Go Link</v>
      </c>
      <c r="E2628" s="3" t="s">
        <v>94</v>
      </c>
      <c r="K2628" s="5"/>
    </row>
    <row r="2629">
      <c r="A2629" s="3" t="s">
        <v>554</v>
      </c>
      <c r="B2629" s="3" t="s">
        <v>570</v>
      </c>
      <c r="C2629" s="3" t="s">
        <v>2811</v>
      </c>
      <c r="D2629" s="4" t="str">
        <f>HYPERLINK("https://12go.asia/en/travel/shenyang-north/xining", "12Go Link")</f>
        <v>12Go Link</v>
      </c>
      <c r="E2629" s="3" t="s">
        <v>94</v>
      </c>
      <c r="K2629" s="5"/>
    </row>
    <row r="2630">
      <c r="A2630" s="3" t="s">
        <v>554</v>
      </c>
      <c r="B2630" s="3" t="s">
        <v>899</v>
      </c>
      <c r="C2630" s="3" t="s">
        <v>2812</v>
      </c>
      <c r="D2630" s="4" t="str">
        <f>HYPERLINK("https://12go.asia/en/travel/shenyang/yichun-heilongjiang", "12Go Link")</f>
        <v>12Go Link</v>
      </c>
      <c r="E2630" s="3" t="s">
        <v>94</v>
      </c>
      <c r="K2630" s="5"/>
    </row>
    <row r="2631">
      <c r="A2631" s="3" t="s">
        <v>1395</v>
      </c>
      <c r="B2631" s="3" t="s">
        <v>611</v>
      </c>
      <c r="C2631" s="3" t="s">
        <v>2813</v>
      </c>
      <c r="D2631" s="4" t="str">
        <f>HYPERLINK("https://12go.asia/en/travel/futian-shenzhen/dongguan-south", "12Go Link")</f>
        <v>12Go Link</v>
      </c>
      <c r="E2631" s="3" t="s">
        <v>94</v>
      </c>
      <c r="K2631" s="5"/>
    </row>
    <row r="2632">
      <c r="A2632" s="3" t="s">
        <v>1395</v>
      </c>
      <c r="B2632" s="3" t="s">
        <v>611</v>
      </c>
      <c r="C2632" s="3" t="s">
        <v>2814</v>
      </c>
      <c r="D2632" s="4" t="str">
        <f>HYPERLINK("https://12go.asia/en/travel/shenzhen-north/dongguan-south", "12Go Link")</f>
        <v>12Go Link</v>
      </c>
      <c r="E2632" s="3" t="s">
        <v>94</v>
      </c>
      <c r="K2632" s="5"/>
    </row>
    <row r="2633">
      <c r="A2633" s="3" t="s">
        <v>1395</v>
      </c>
      <c r="B2633" s="3" t="s">
        <v>1360</v>
      </c>
      <c r="C2633" s="3" t="s">
        <v>2815</v>
      </c>
      <c r="D2633" s="4" t="str">
        <f>HYPERLINK("https://12go.asia/en/travel/shenzhen-north/changle-east", "12Go Link")</f>
        <v>12Go Link</v>
      </c>
      <c r="E2633" s="3" t="s">
        <v>94</v>
      </c>
      <c r="K2633" s="5"/>
    </row>
    <row r="2634">
      <c r="A2634" s="3" t="s">
        <v>1395</v>
      </c>
      <c r="B2634" s="3" t="s">
        <v>2816</v>
      </c>
      <c r="C2634" s="3" t="s">
        <v>2817</v>
      </c>
      <c r="D2634" s="4" t="str">
        <f>HYPERLINK("https://12go.asia/en/travel/shenzhen-north/pingtan", "12Go Link")</f>
        <v>12Go Link</v>
      </c>
      <c r="E2634" s="3" t="s">
        <v>94</v>
      </c>
      <c r="K2634" s="5"/>
    </row>
    <row r="2635">
      <c r="A2635" s="3" t="s">
        <v>1395</v>
      </c>
      <c r="B2635" s="3" t="s">
        <v>849</v>
      </c>
      <c r="C2635" s="3" t="s">
        <v>2818</v>
      </c>
      <c r="D2635" s="4" t="str">
        <f>HYPERLINK("https://12go.asia/en/travel/shenzhen-north/ganxian-north", "12Go Link")</f>
        <v>12Go Link</v>
      </c>
      <c r="E2635" s="3" t="s">
        <v>94</v>
      </c>
      <c r="K2635" s="5"/>
    </row>
    <row r="2636">
      <c r="A2636" s="3" t="s">
        <v>1395</v>
      </c>
      <c r="B2636" s="3" t="s">
        <v>849</v>
      </c>
      <c r="C2636" s="3" t="s">
        <v>2819</v>
      </c>
      <c r="D2636" s="4" t="str">
        <f>HYPERLINK("https://12go.asia/en/travel/shenzhen/ganxian-north", "12Go Link")</f>
        <v>12Go Link</v>
      </c>
      <c r="E2636" s="3" t="s">
        <v>94</v>
      </c>
      <c r="K2636" s="5"/>
    </row>
    <row r="2637">
      <c r="A2637" s="3" t="s">
        <v>1395</v>
      </c>
      <c r="B2637" s="3" t="s">
        <v>1081</v>
      </c>
      <c r="C2637" s="3" t="s">
        <v>2820</v>
      </c>
      <c r="D2637" s="4" t="str">
        <f>HYPERLINK("https://12go.asia/en/travel/futian-shenzhen/hefei-south", "12Go Link")</f>
        <v>12Go Link</v>
      </c>
      <c r="E2637" s="3" t="s">
        <v>94</v>
      </c>
      <c r="K2637" s="5"/>
    </row>
    <row r="2638">
      <c r="A2638" s="3" t="s">
        <v>1395</v>
      </c>
      <c r="B2638" s="3" t="s">
        <v>624</v>
      </c>
      <c r="C2638" s="3" t="s">
        <v>2821</v>
      </c>
      <c r="D2638" s="4" t="str">
        <f>HYPERLINK("https://12go.asia/en/travel/shenzhen/hong-kong-island", "12Go Link")</f>
        <v>12Go Link</v>
      </c>
      <c r="E2638" s="3" t="s">
        <v>94</v>
      </c>
      <c r="K2638" s="5"/>
    </row>
    <row r="2639">
      <c r="A2639" s="3" t="s">
        <v>1395</v>
      </c>
      <c r="B2639" s="3" t="s">
        <v>2150</v>
      </c>
      <c r="C2639" s="3" t="s">
        <v>2822</v>
      </c>
      <c r="D2639" s="4" t="str">
        <f>HYPERLINK("https://12go.asia/en/travel/shenzhen-north/gucheng-north", "12Go Link")</f>
        <v>12Go Link</v>
      </c>
      <c r="E2639" s="3" t="s">
        <v>94</v>
      </c>
      <c r="K2639" s="5"/>
    </row>
    <row r="2640">
      <c r="A2640" s="3" t="s">
        <v>1395</v>
      </c>
      <c r="B2640" s="3" t="s">
        <v>1989</v>
      </c>
      <c r="C2640" s="3" t="s">
        <v>2823</v>
      </c>
      <c r="D2640" s="4" t="str">
        <f>HYPERLINK("https://12go.asia/en/travel/shenzhen-north/liuzhou", "12Go Link")</f>
        <v>12Go Link</v>
      </c>
      <c r="E2640" s="3" t="s">
        <v>94</v>
      </c>
      <c r="K2640" s="5"/>
    </row>
    <row r="2641">
      <c r="A2641" s="3" t="s">
        <v>1395</v>
      </c>
      <c r="B2641" s="3" t="s">
        <v>2824</v>
      </c>
      <c r="C2641" s="3" t="s">
        <v>2825</v>
      </c>
      <c r="D2641" s="4" t="str">
        <f>HYPERLINK("https://12go.asia/en/travel/shenzhen-north/shejiang-north", "12Go Link")</f>
        <v>12Go Link</v>
      </c>
      <c r="E2641" s="3" t="s">
        <v>94</v>
      </c>
      <c r="K2641" s="5"/>
    </row>
    <row r="2642">
      <c r="A2642" s="3" t="s">
        <v>1395</v>
      </c>
      <c r="B2642" s="3" t="s">
        <v>874</v>
      </c>
      <c r="C2642" s="3" t="s">
        <v>2826</v>
      </c>
      <c r="D2642" s="4" t="str">
        <f>HYPERLINK("https://12go.asia/en/travel/futian-shenzhen/nanchang-west", "12Go Link")</f>
        <v>12Go Link</v>
      </c>
      <c r="E2642" s="3" t="s">
        <v>94</v>
      </c>
      <c r="K2642" s="5"/>
    </row>
    <row r="2643">
      <c r="A2643" s="3" t="s">
        <v>1395</v>
      </c>
      <c r="B2643" s="3" t="s">
        <v>1723</v>
      </c>
      <c r="C2643" s="3" t="s">
        <v>2827</v>
      </c>
      <c r="D2643" s="4" t="str">
        <f>HYPERLINK("https://12go.asia/en/travel/shenzhen-north/xianning-north", "12Go Link")</f>
        <v>12Go Link</v>
      </c>
      <c r="E2643" s="3" t="s">
        <v>94</v>
      </c>
      <c r="K2643" s="5"/>
    </row>
    <row r="2644">
      <c r="A2644" s="3" t="s">
        <v>1395</v>
      </c>
      <c r="B2644" s="3" t="s">
        <v>582</v>
      </c>
      <c r="C2644" s="3" t="s">
        <v>2828</v>
      </c>
      <c r="D2644" s="4" t="str">
        <f>HYPERLINK("https://12go.asia/en/travel/shenzhen-east/yuncheng", "12Go Link")</f>
        <v>12Go Link</v>
      </c>
      <c r="E2644" s="3" t="s">
        <v>94</v>
      </c>
      <c r="K2644" s="5"/>
    </row>
    <row r="2645">
      <c r="A2645" s="3" t="s">
        <v>1395</v>
      </c>
      <c r="B2645" s="3" t="s">
        <v>582</v>
      </c>
      <c r="C2645" s="3" t="s">
        <v>2829</v>
      </c>
      <c r="D2645" s="4" t="str">
        <f>HYPERLINK("https://12go.asia/en/travel/shenzhen/yuncheng", "12Go Link")</f>
        <v>12Go Link</v>
      </c>
      <c r="E2645" s="3" t="s">
        <v>94</v>
      </c>
      <c r="K2645" s="5"/>
    </row>
    <row r="2646">
      <c r="A2646" s="3" t="s">
        <v>562</v>
      </c>
      <c r="B2646" s="3" t="s">
        <v>929</v>
      </c>
      <c r="C2646" s="3" t="s">
        <v>2830</v>
      </c>
      <c r="D2646" s="4" t="str">
        <f>HYPERLINK("https://12go.asia/en/travel/sichuan/anshun", "12Go Link")</f>
        <v>12Go Link</v>
      </c>
      <c r="E2646" s="3" t="s">
        <v>94</v>
      </c>
      <c r="K2646" s="5"/>
    </row>
    <row r="2647">
      <c r="A2647" s="3" t="s">
        <v>562</v>
      </c>
      <c r="B2647" s="3" t="s">
        <v>515</v>
      </c>
      <c r="C2647" s="3" t="s">
        <v>2831</v>
      </c>
      <c r="D2647" s="4" t="str">
        <f>HYPERLINK("https://12go.asia/en/travel/sichuan/anyang", "12Go Link")</f>
        <v>12Go Link</v>
      </c>
      <c r="E2647" s="3" t="s">
        <v>94</v>
      </c>
      <c r="K2647" s="5"/>
    </row>
    <row r="2648">
      <c r="A2648" s="3" t="s">
        <v>562</v>
      </c>
      <c r="B2648" s="3" t="s">
        <v>587</v>
      </c>
      <c r="C2648" s="3" t="s">
        <v>2832</v>
      </c>
      <c r="D2648" s="4" t="str">
        <f>HYPERLINK("https://12go.asia/en/travel/sichuan/baoding", "12Go Link")</f>
        <v>12Go Link</v>
      </c>
      <c r="E2648" s="3" t="s">
        <v>94</v>
      </c>
      <c r="K2648" s="5"/>
    </row>
    <row r="2649">
      <c r="A2649" s="3" t="s">
        <v>562</v>
      </c>
      <c r="B2649" s="3" t="s">
        <v>2161</v>
      </c>
      <c r="C2649" s="3" t="s">
        <v>2833</v>
      </c>
      <c r="D2649" s="4" t="str">
        <f>HYPERLINK("https://12go.asia/en/travel/sichuan/beidaihe", "12Go Link")</f>
        <v>12Go Link</v>
      </c>
      <c r="E2649" s="3" t="s">
        <v>94</v>
      </c>
      <c r="K2649" s="5"/>
    </row>
    <row r="2650">
      <c r="A2650" s="3" t="s">
        <v>562</v>
      </c>
      <c r="B2650" s="3" t="s">
        <v>846</v>
      </c>
      <c r="C2650" s="3" t="s">
        <v>2834</v>
      </c>
      <c r="D2650" s="4" t="str">
        <f>HYPERLINK("https://12go.asia/en/travel/sichuan/dezhou", "12Go Link")</f>
        <v>12Go Link</v>
      </c>
      <c r="E2650" s="3" t="s">
        <v>94</v>
      </c>
      <c r="K2650" s="5"/>
    </row>
    <row r="2651">
      <c r="A2651" s="3" t="s">
        <v>562</v>
      </c>
      <c r="B2651" s="3" t="s">
        <v>1702</v>
      </c>
      <c r="C2651" s="3" t="s">
        <v>2835</v>
      </c>
      <c r="D2651" s="4" t="str">
        <f>HYPERLINK("https://12go.asia/en/travel/sichuan/duyun", "12Go Link")</f>
        <v>12Go Link</v>
      </c>
      <c r="E2651" s="3" t="s">
        <v>94</v>
      </c>
      <c r="K2651" s="5"/>
    </row>
    <row r="2652">
      <c r="A2652" s="3" t="s">
        <v>562</v>
      </c>
      <c r="B2652" s="3" t="s">
        <v>1421</v>
      </c>
      <c r="C2652" s="3" t="s">
        <v>2836</v>
      </c>
      <c r="D2652" s="4" t="str">
        <f>HYPERLINK("https://12go.asia/en/travel/sichuan/fuyang-anhui", "12Go Link")</f>
        <v>12Go Link</v>
      </c>
      <c r="E2652" s="3" t="s">
        <v>94</v>
      </c>
      <c r="K2652" s="5"/>
    </row>
    <row r="2653">
      <c r="A2653" s="3" t="s">
        <v>562</v>
      </c>
      <c r="B2653" s="3" t="s">
        <v>524</v>
      </c>
      <c r="C2653" s="3" t="s">
        <v>2837</v>
      </c>
      <c r="D2653" s="4" t="str">
        <f>HYPERLINK("https://12go.asia/en/travel/sichuan/guzhang", "12Go Link")</f>
        <v>12Go Link</v>
      </c>
      <c r="E2653" s="3" t="s">
        <v>94</v>
      </c>
      <c r="K2653" s="5"/>
    </row>
    <row r="2654">
      <c r="A2654" s="3" t="s">
        <v>562</v>
      </c>
      <c r="B2654" s="3" t="s">
        <v>1133</v>
      </c>
      <c r="C2654" s="3" t="s">
        <v>2838</v>
      </c>
      <c r="D2654" s="4" t="str">
        <f>HYPERLINK("https://12go.asia/en/travel/sichuan/hanzhong", "12Go Link")</f>
        <v>12Go Link</v>
      </c>
      <c r="E2654" s="3" t="s">
        <v>94</v>
      </c>
      <c r="K2654" s="5"/>
    </row>
    <row r="2655">
      <c r="A2655" s="3" t="s">
        <v>562</v>
      </c>
      <c r="B2655" s="3" t="s">
        <v>2839</v>
      </c>
      <c r="C2655" s="3" t="s">
        <v>2840</v>
      </c>
      <c r="D2655" s="4" t="str">
        <f>HYPERLINK("https://12go.asia/en/travel/sichuan/hechi", "12Go Link")</f>
        <v>12Go Link</v>
      </c>
      <c r="E2655" s="3" t="s">
        <v>94</v>
      </c>
      <c r="K2655" s="5"/>
    </row>
    <row r="2656">
      <c r="A2656" s="3" t="s">
        <v>562</v>
      </c>
      <c r="B2656" s="3" t="s">
        <v>620</v>
      </c>
      <c r="C2656" s="3" t="s">
        <v>2841</v>
      </c>
      <c r="D2656" s="4" t="str">
        <f>HYPERLINK("https://12go.asia/en/travel/sichuan/hengqin-island", "12Go Link")</f>
        <v>12Go Link</v>
      </c>
      <c r="E2656" s="3" t="s">
        <v>94</v>
      </c>
      <c r="K2656" s="5"/>
    </row>
    <row r="2657">
      <c r="A2657" s="3" t="s">
        <v>562</v>
      </c>
      <c r="B2657" s="3" t="s">
        <v>758</v>
      </c>
      <c r="C2657" s="3" t="s">
        <v>2842</v>
      </c>
      <c r="D2657" s="4" t="str">
        <f>HYPERLINK("https://12go.asia/en/travel/sichuan/heze", "12Go Link")</f>
        <v>12Go Link</v>
      </c>
      <c r="E2657" s="3" t="s">
        <v>94</v>
      </c>
      <c r="K2657" s="5"/>
    </row>
    <row r="2658">
      <c r="A2658" s="3" t="s">
        <v>562</v>
      </c>
      <c r="B2658" s="3" t="s">
        <v>624</v>
      </c>
      <c r="C2658" s="3" t="s">
        <v>2843</v>
      </c>
      <c r="D2658" s="4" t="str">
        <f>HYPERLINK("https://12go.asia/en/travel/sichuan/hong-kong-island", "12Go Link")</f>
        <v>12Go Link</v>
      </c>
      <c r="E2658" s="3" t="s">
        <v>94</v>
      </c>
      <c r="K2658" s="5"/>
    </row>
    <row r="2659">
      <c r="A2659" s="3" t="s">
        <v>562</v>
      </c>
      <c r="B2659" s="3" t="s">
        <v>1036</v>
      </c>
      <c r="C2659" s="3" t="s">
        <v>2844</v>
      </c>
      <c r="D2659" s="4" t="str">
        <f>HYPERLINK("https://12go.asia/en/travel/sichuan/huainan", "12Go Link")</f>
        <v>12Go Link</v>
      </c>
      <c r="E2659" s="3" t="s">
        <v>94</v>
      </c>
      <c r="K2659" s="5"/>
    </row>
    <row r="2660">
      <c r="A2660" s="3" t="s">
        <v>562</v>
      </c>
      <c r="B2660" s="3" t="s">
        <v>1905</v>
      </c>
      <c r="C2660" s="3" t="s">
        <v>2845</v>
      </c>
      <c r="D2660" s="4" t="str">
        <f>HYPERLINK("https://12go.asia/en/travel/sichuan/huangshan", "12Go Link")</f>
        <v>12Go Link</v>
      </c>
      <c r="E2660" s="3" t="s">
        <v>94</v>
      </c>
      <c r="K2660" s="5"/>
    </row>
    <row r="2661">
      <c r="A2661" s="3" t="s">
        <v>562</v>
      </c>
      <c r="B2661" s="3" t="s">
        <v>632</v>
      </c>
      <c r="C2661" s="3" t="s">
        <v>2846</v>
      </c>
      <c r="D2661" s="4" t="str">
        <f>HYPERLINK("https://12go.asia/en/travel/sichuan/huaxi", "12Go Link")</f>
        <v>12Go Link</v>
      </c>
      <c r="E2661" s="3" t="s">
        <v>94</v>
      </c>
      <c r="K2661" s="5"/>
    </row>
    <row r="2662">
      <c r="A2662" s="3" t="s">
        <v>562</v>
      </c>
      <c r="B2662" s="3" t="s">
        <v>865</v>
      </c>
      <c r="C2662" s="3" t="s">
        <v>2847</v>
      </c>
      <c r="D2662" s="4" t="str">
        <f>HYPERLINK("https://12go.asia/en/travel/sichuan/huludao", "12Go Link")</f>
        <v>12Go Link</v>
      </c>
      <c r="E2662" s="3" t="s">
        <v>94</v>
      </c>
      <c r="K2662" s="5"/>
    </row>
    <row r="2663">
      <c r="A2663" s="3" t="s">
        <v>562</v>
      </c>
      <c r="B2663" s="3" t="s">
        <v>643</v>
      </c>
      <c r="C2663" s="3" t="s">
        <v>2848</v>
      </c>
      <c r="D2663" s="4" t="str">
        <f>HYPERLINK("https://12go.asia/en/travel/sichuan/jiangning", "12Go Link")</f>
        <v>12Go Link</v>
      </c>
      <c r="E2663" s="3" t="s">
        <v>94</v>
      </c>
      <c r="K2663" s="5"/>
    </row>
    <row r="2664">
      <c r="A2664" s="3" t="s">
        <v>562</v>
      </c>
      <c r="B2664" s="3" t="s">
        <v>540</v>
      </c>
      <c r="C2664" s="3" t="s">
        <v>2849</v>
      </c>
      <c r="D2664" s="4" t="str">
        <f>HYPERLINK("https://12go.asia/en/travel/sichuan/jiangzhou", "12Go Link")</f>
        <v>12Go Link</v>
      </c>
      <c r="E2664" s="3" t="s">
        <v>94</v>
      </c>
      <c r="K2664" s="5"/>
    </row>
    <row r="2665">
      <c r="A2665" s="3" t="s">
        <v>562</v>
      </c>
      <c r="B2665" s="3" t="s">
        <v>542</v>
      </c>
      <c r="C2665" s="3" t="s">
        <v>2850</v>
      </c>
      <c r="D2665" s="4" t="str">
        <f>HYPERLINK("https://12go.asia/en/travel/sichuan/jiaocheng", "12Go Link")</f>
        <v>12Go Link</v>
      </c>
      <c r="E2665" s="3" t="s">
        <v>94</v>
      </c>
      <c r="K2665" s="5"/>
    </row>
    <row r="2666">
      <c r="A2666" s="3" t="s">
        <v>562</v>
      </c>
      <c r="B2666" s="3" t="s">
        <v>655</v>
      </c>
      <c r="C2666" s="3" t="s">
        <v>2851</v>
      </c>
      <c r="D2666" s="4" t="str">
        <f>HYPERLINK("https://12go.asia/en/travel/sichuan/jiaxiang", "12Go Link")</f>
        <v>12Go Link</v>
      </c>
      <c r="E2666" s="3" t="s">
        <v>94</v>
      </c>
      <c r="K2666" s="5"/>
    </row>
    <row r="2667">
      <c r="A2667" s="3" t="s">
        <v>562</v>
      </c>
      <c r="B2667" s="3" t="s">
        <v>766</v>
      </c>
      <c r="C2667" s="3" t="s">
        <v>2852</v>
      </c>
      <c r="D2667" s="4" t="str">
        <f>HYPERLINK("https://12go.asia/en/travel/sichuan/jinhua", "12Go Link")</f>
        <v>12Go Link</v>
      </c>
      <c r="E2667" s="3" t="s">
        <v>94</v>
      </c>
      <c r="K2667" s="5"/>
    </row>
    <row r="2668">
      <c r="A2668" s="3" t="s">
        <v>562</v>
      </c>
      <c r="B2668" s="3" t="s">
        <v>588</v>
      </c>
      <c r="C2668" s="3" t="s">
        <v>2853</v>
      </c>
      <c r="D2668" s="4" t="str">
        <f>HYPERLINK("https://12go.asia/en/travel/sichuan/kaifeng", "12Go Link")</f>
        <v>12Go Link</v>
      </c>
      <c r="E2668" s="3" t="s">
        <v>94</v>
      </c>
      <c r="K2668" s="5"/>
    </row>
    <row r="2669">
      <c r="A2669" s="3" t="s">
        <v>562</v>
      </c>
      <c r="B2669" s="3" t="s">
        <v>2068</v>
      </c>
      <c r="C2669" s="3" t="s">
        <v>2854</v>
      </c>
      <c r="D2669" s="4" t="str">
        <f>HYPERLINK("https://12go.asia/en/travel/sichuan/liancheng", "12Go Link")</f>
        <v>12Go Link</v>
      </c>
      <c r="E2669" s="3" t="s">
        <v>94</v>
      </c>
      <c r="K2669" s="5"/>
    </row>
    <row r="2670">
      <c r="A2670" s="3" t="s">
        <v>562</v>
      </c>
      <c r="B2670" s="3" t="s">
        <v>978</v>
      </c>
      <c r="C2670" s="3" t="s">
        <v>2855</v>
      </c>
      <c r="D2670" s="4" t="str">
        <f>HYPERLINK("https://12go.asia/en/travel/sichuan/liupanshui", "12Go Link")</f>
        <v>12Go Link</v>
      </c>
      <c r="E2670" s="3" t="s">
        <v>94</v>
      </c>
      <c r="K2670" s="5"/>
    </row>
    <row r="2671">
      <c r="A2671" s="3" t="s">
        <v>562</v>
      </c>
      <c r="B2671" s="3" t="s">
        <v>1217</v>
      </c>
      <c r="C2671" s="3" t="s">
        <v>2856</v>
      </c>
      <c r="D2671" s="4" t="str">
        <f>HYPERLINK("https://12go.asia/en/travel/sichuan/longchang", "12Go Link")</f>
        <v>12Go Link</v>
      </c>
      <c r="E2671" s="3" t="s">
        <v>94</v>
      </c>
      <c r="K2671" s="5"/>
    </row>
    <row r="2672">
      <c r="A2672" s="3" t="s">
        <v>562</v>
      </c>
      <c r="B2672" s="3" t="s">
        <v>674</v>
      </c>
      <c r="C2672" s="3" t="s">
        <v>2857</v>
      </c>
      <c r="D2672" s="4" t="str">
        <f>HYPERLINK("https://12go.asia/en/travel/sichuan/maoming", "12Go Link")</f>
        <v>12Go Link</v>
      </c>
      <c r="E2672" s="3" t="s">
        <v>94</v>
      </c>
      <c r="K2672" s="5"/>
    </row>
    <row r="2673">
      <c r="A2673" s="3" t="s">
        <v>562</v>
      </c>
      <c r="B2673" s="3" t="s">
        <v>2858</v>
      </c>
      <c r="C2673" s="3" t="s">
        <v>2859</v>
      </c>
      <c r="D2673" s="4" t="str">
        <f>HYPERLINK("https://12go.asia/en/travel/sichuan/meishan", "12Go Link")</f>
        <v>12Go Link</v>
      </c>
      <c r="E2673" s="3" t="s">
        <v>94</v>
      </c>
      <c r="K2673" s="5"/>
    </row>
    <row r="2674">
      <c r="A2674" s="3" t="s">
        <v>562</v>
      </c>
      <c r="B2674" s="3" t="s">
        <v>679</v>
      </c>
      <c r="C2674" s="3" t="s">
        <v>2860</v>
      </c>
      <c r="D2674" s="4" t="str">
        <f>HYPERLINK("https://12go.asia/en/travel/sichuan/mingxi", "12Go Link")</f>
        <v>12Go Link</v>
      </c>
      <c r="E2674" s="3" t="s">
        <v>94</v>
      </c>
      <c r="K2674" s="5"/>
    </row>
    <row r="2675">
      <c r="A2675" s="3" t="s">
        <v>562</v>
      </c>
      <c r="B2675" s="3" t="s">
        <v>2122</v>
      </c>
      <c r="C2675" s="3" t="s">
        <v>2861</v>
      </c>
      <c r="D2675" s="4" t="str">
        <f>HYPERLINK("https://12go.asia/en/travel/sichuan/panjin", "12Go Link")</f>
        <v>12Go Link</v>
      </c>
      <c r="E2675" s="3" t="s">
        <v>94</v>
      </c>
      <c r="K2675" s="5"/>
    </row>
    <row r="2676">
      <c r="A2676" s="3" t="s">
        <v>562</v>
      </c>
      <c r="B2676" s="3" t="s">
        <v>2416</v>
      </c>
      <c r="C2676" s="3" t="s">
        <v>2862</v>
      </c>
      <c r="D2676" s="4" t="str">
        <f>HYPERLINK("https://12go.asia/en/travel/sichuan/pingxiang", "12Go Link")</f>
        <v>12Go Link</v>
      </c>
      <c r="E2676" s="3" t="s">
        <v>94</v>
      </c>
      <c r="K2676" s="5"/>
    </row>
    <row r="2677">
      <c r="A2677" s="3" t="s">
        <v>562</v>
      </c>
      <c r="B2677" s="3" t="s">
        <v>986</v>
      </c>
      <c r="C2677" s="3" t="s">
        <v>2863</v>
      </c>
      <c r="D2677" s="4" t="str">
        <f>HYPERLINK("https://12go.asia/en/travel/sichuan/pingyao", "12Go Link")</f>
        <v>12Go Link</v>
      </c>
      <c r="E2677" s="3" t="s">
        <v>94</v>
      </c>
      <c r="K2677" s="5"/>
    </row>
    <row r="2678">
      <c r="A2678" s="3" t="s">
        <v>562</v>
      </c>
      <c r="B2678" s="3" t="s">
        <v>2302</v>
      </c>
      <c r="C2678" s="3" t="s">
        <v>2864</v>
      </c>
      <c r="D2678" s="4" t="str">
        <f>HYPERLINK("https://12go.asia/en/travel/sichuan/qujing", "12Go Link")</f>
        <v>12Go Link</v>
      </c>
      <c r="E2678" s="3" t="s">
        <v>94</v>
      </c>
      <c r="K2678" s="5"/>
    </row>
    <row r="2679">
      <c r="A2679" s="3" t="s">
        <v>562</v>
      </c>
      <c r="B2679" s="3" t="s">
        <v>1174</v>
      </c>
      <c r="C2679" s="3" t="s">
        <v>2865</v>
      </c>
      <c r="D2679" s="4" t="str">
        <f>HYPERLINK("https://12go.asia/en/travel/sichuan/quzhou", "12Go Link")</f>
        <v>12Go Link</v>
      </c>
      <c r="E2679" s="3" t="s">
        <v>94</v>
      </c>
      <c r="K2679" s="5"/>
    </row>
    <row r="2680">
      <c r="A2680" s="3" t="s">
        <v>562</v>
      </c>
      <c r="B2680" s="3" t="s">
        <v>1249</v>
      </c>
      <c r="C2680" s="3" t="s">
        <v>2866</v>
      </c>
      <c r="D2680" s="4" t="str">
        <f>HYPERLINK("https://12go.asia/en/travel/sichuan/rizhao", "12Go Link")</f>
        <v>12Go Link</v>
      </c>
      <c r="E2680" s="3" t="s">
        <v>94</v>
      </c>
      <c r="K2680" s="5"/>
    </row>
    <row r="2681">
      <c r="A2681" s="3" t="s">
        <v>562</v>
      </c>
      <c r="B2681" s="3" t="s">
        <v>1178</v>
      </c>
      <c r="C2681" s="3" t="s">
        <v>2867</v>
      </c>
      <c r="D2681" s="4" t="str">
        <f>HYPERLINK("https://12go.asia/en/travel/sichuan/ruichang", "12Go Link")</f>
        <v>12Go Link</v>
      </c>
      <c r="E2681" s="3" t="s">
        <v>94</v>
      </c>
      <c r="K2681" s="5"/>
    </row>
    <row r="2682">
      <c r="A2682" s="3" t="s">
        <v>562</v>
      </c>
      <c r="B2682" s="3" t="s">
        <v>550</v>
      </c>
      <c r="C2682" s="3" t="s">
        <v>2868</v>
      </c>
      <c r="D2682" s="4" t="str">
        <f>HYPERLINK("https://12go.asia/en/travel/sichuan/saihan", "12Go Link")</f>
        <v>12Go Link</v>
      </c>
      <c r="E2682" s="3" t="s">
        <v>94</v>
      </c>
      <c r="K2682" s="5"/>
    </row>
    <row r="2683">
      <c r="A2683" s="3" t="s">
        <v>562</v>
      </c>
      <c r="B2683" s="3" t="s">
        <v>1057</v>
      </c>
      <c r="C2683" s="3" t="s">
        <v>2869</v>
      </c>
      <c r="D2683" s="4" t="str">
        <f>HYPERLINK("https://12go.asia/en/travel/sichuan/shangqiu", "12Go Link")</f>
        <v>12Go Link</v>
      </c>
      <c r="E2683" s="3" t="s">
        <v>94</v>
      </c>
      <c r="K2683" s="5"/>
    </row>
    <row r="2684">
      <c r="A2684" s="3" t="s">
        <v>562</v>
      </c>
      <c r="B2684" s="3" t="s">
        <v>1309</v>
      </c>
      <c r="C2684" s="3" t="s">
        <v>2870</v>
      </c>
      <c r="D2684" s="4" t="str">
        <f>HYPERLINK("https://12go.asia/en/travel/sichuan/shaoshan", "12Go Link")</f>
        <v>12Go Link</v>
      </c>
      <c r="E2684" s="3" t="s">
        <v>94</v>
      </c>
      <c r="K2684" s="5"/>
    </row>
    <row r="2685">
      <c r="A2685" s="3" t="s">
        <v>562</v>
      </c>
      <c r="B2685" s="3" t="s">
        <v>1183</v>
      </c>
      <c r="C2685" s="3" t="s">
        <v>2871</v>
      </c>
      <c r="D2685" s="4" t="str">
        <f>HYPERLINK("https://12go.asia/en/travel/sichuan/shizhong", "12Go Link")</f>
        <v>12Go Link</v>
      </c>
      <c r="E2685" s="3" t="s">
        <v>94</v>
      </c>
      <c r="K2685" s="5"/>
    </row>
    <row r="2686">
      <c r="A2686" s="3" t="s">
        <v>562</v>
      </c>
      <c r="B2686" s="3" t="s">
        <v>560</v>
      </c>
      <c r="C2686" s="3" t="s">
        <v>2872</v>
      </c>
      <c r="D2686" s="4" t="str">
        <f>HYPERLINK("https://12go.asia/en/travel/sichuan/shuangliu", "12Go Link")</f>
        <v>12Go Link</v>
      </c>
      <c r="E2686" s="3" t="s">
        <v>94</v>
      </c>
      <c r="K2686" s="5"/>
    </row>
    <row r="2687">
      <c r="A2687" s="3" t="s">
        <v>562</v>
      </c>
      <c r="B2687" s="3" t="s">
        <v>2873</v>
      </c>
      <c r="C2687" s="3" t="s">
        <v>2874</v>
      </c>
      <c r="D2687" s="4" t="str">
        <f>HYPERLINK("https://12go.asia/en/travel/sichuan/songpan", "12Go Link")</f>
        <v>12Go Link</v>
      </c>
      <c r="E2687" s="3" t="s">
        <v>94</v>
      </c>
      <c r="K2687" s="5"/>
    </row>
    <row r="2688">
      <c r="A2688" s="3" t="s">
        <v>562</v>
      </c>
      <c r="B2688" s="3" t="s">
        <v>564</v>
      </c>
      <c r="C2688" s="3" t="s">
        <v>2875</v>
      </c>
      <c r="D2688" s="4" t="str">
        <f>HYPERLINK("https://12go.asia/en/travel/sichuan/tianxin", "12Go Link")</f>
        <v>12Go Link</v>
      </c>
      <c r="E2688" s="3" t="s">
        <v>94</v>
      </c>
      <c r="K2688" s="5"/>
    </row>
    <row r="2689">
      <c r="A2689" s="3" t="s">
        <v>562</v>
      </c>
      <c r="B2689" s="3" t="s">
        <v>1263</v>
      </c>
      <c r="C2689" s="3" t="s">
        <v>2876</v>
      </c>
      <c r="D2689" s="4" t="str">
        <f>HYPERLINK("https://12go.asia/en/travel/sichuan/weihai", "12Go Link")</f>
        <v>12Go Link</v>
      </c>
      <c r="E2689" s="3" t="s">
        <v>94</v>
      </c>
      <c r="K2689" s="5"/>
    </row>
    <row r="2690">
      <c r="A2690" s="3" t="s">
        <v>562</v>
      </c>
      <c r="B2690" s="3" t="s">
        <v>712</v>
      </c>
      <c r="C2690" s="3" t="s">
        <v>2877</v>
      </c>
      <c r="D2690" s="4" t="str">
        <f>HYPERLINK("https://12go.asia/en/travel/sichuan/xihu", "12Go Link")</f>
        <v>12Go Link</v>
      </c>
      <c r="E2690" s="3" t="s">
        <v>94</v>
      </c>
      <c r="K2690" s="5"/>
    </row>
    <row r="2691">
      <c r="A2691" s="3" t="s">
        <v>562</v>
      </c>
      <c r="B2691" s="3" t="s">
        <v>573</v>
      </c>
      <c r="C2691" s="3" t="s">
        <v>2878</v>
      </c>
      <c r="D2691" s="4" t="str">
        <f>HYPERLINK("https://12go.asia/en/travel/sichuan/xinyi", "12Go Link")</f>
        <v>12Go Link</v>
      </c>
      <c r="E2691" s="3" t="s">
        <v>94</v>
      </c>
      <c r="K2691" s="5"/>
    </row>
    <row r="2692">
      <c r="A2692" s="3" t="s">
        <v>562</v>
      </c>
      <c r="B2692" s="3" t="s">
        <v>575</v>
      </c>
      <c r="C2692" s="3" t="s">
        <v>2879</v>
      </c>
      <c r="D2692" s="4" t="str">
        <f>HYPERLINK("https://12go.asia/en/travel/sichuan/xishui", "12Go Link")</f>
        <v>12Go Link</v>
      </c>
      <c r="E2692" s="3" t="s">
        <v>94</v>
      </c>
      <c r="K2692" s="5"/>
    </row>
    <row r="2693">
      <c r="A2693" s="3" t="s">
        <v>562</v>
      </c>
      <c r="B2693" s="3" t="s">
        <v>579</v>
      </c>
      <c r="C2693" s="3" t="s">
        <v>2880</v>
      </c>
      <c r="D2693" s="4" t="str">
        <f>HYPERLINK("https://12go.asia/en/travel/sichuan/xuzhou", "12Go Link")</f>
        <v>12Go Link</v>
      </c>
      <c r="E2693" s="3" t="s">
        <v>94</v>
      </c>
      <c r="K2693" s="5"/>
    </row>
    <row r="2694">
      <c r="A2694" s="3" t="s">
        <v>562</v>
      </c>
      <c r="B2694" s="3" t="s">
        <v>720</v>
      </c>
      <c r="C2694" s="3" t="s">
        <v>2881</v>
      </c>
      <c r="D2694" s="4" t="str">
        <f>HYPERLINK("https://12go.asia/en/travel/sichuan/yangchun", "12Go Link")</f>
        <v>12Go Link</v>
      </c>
      <c r="E2694" s="3" t="s">
        <v>94</v>
      </c>
      <c r="K2694" s="5"/>
    </row>
    <row r="2695">
      <c r="A2695" s="3" t="s">
        <v>562</v>
      </c>
      <c r="B2695" s="3" t="s">
        <v>1933</v>
      </c>
      <c r="C2695" s="3" t="s">
        <v>2882</v>
      </c>
      <c r="D2695" s="4" t="str">
        <f>HYPERLINK("https://12go.asia/en/travel/sichuan/yichang", "12Go Link")</f>
        <v>12Go Link</v>
      </c>
      <c r="E2695" s="3" t="s">
        <v>94</v>
      </c>
      <c r="K2695" s="5"/>
    </row>
    <row r="2696">
      <c r="A2696" s="3" t="s">
        <v>562</v>
      </c>
      <c r="B2696" s="3" t="s">
        <v>1202</v>
      </c>
      <c r="C2696" s="3" t="s">
        <v>2883</v>
      </c>
      <c r="D2696" s="4" t="str">
        <f>HYPERLINK("https://12go.asia/en/travel/sichuan/yichun-jiangxi", "12Go Link")</f>
        <v>12Go Link</v>
      </c>
      <c r="E2696" s="3" t="s">
        <v>94</v>
      </c>
      <c r="K2696" s="5"/>
    </row>
    <row r="2697">
      <c r="A2697" s="3" t="s">
        <v>562</v>
      </c>
      <c r="B2697" s="3" t="s">
        <v>722</v>
      </c>
      <c r="C2697" s="3" t="s">
        <v>2884</v>
      </c>
      <c r="D2697" s="4" t="str">
        <f>HYPERLINK("https://12go.asia/en/travel/sichuan/yijiang", "12Go Link")</f>
        <v>12Go Link</v>
      </c>
      <c r="E2697" s="3" t="s">
        <v>94</v>
      </c>
      <c r="K2697" s="5"/>
    </row>
    <row r="2698">
      <c r="A2698" s="3" t="s">
        <v>562</v>
      </c>
      <c r="B2698" s="3" t="s">
        <v>2885</v>
      </c>
      <c r="C2698" s="3" t="s">
        <v>2886</v>
      </c>
      <c r="D2698" s="4" t="str">
        <f>HYPERLINK("https://12go.asia/en/travel/sichuan/yuxi", "12Go Link")</f>
        <v>12Go Link</v>
      </c>
      <c r="E2698" s="3" t="s">
        <v>94</v>
      </c>
      <c r="K2698" s="5"/>
    </row>
    <row r="2699">
      <c r="A2699" s="3" t="s">
        <v>698</v>
      </c>
      <c r="B2699" s="3" t="s">
        <v>593</v>
      </c>
      <c r="C2699" s="3" t="s">
        <v>2887</v>
      </c>
      <c r="D2699" s="4" t="str">
        <f>HYPERLINK("https://12go.asia/en/travel/sihui/beijing", "12Go Link")</f>
        <v>12Go Link</v>
      </c>
      <c r="E2699" s="3" t="s">
        <v>94</v>
      </c>
      <c r="K2699" s="5"/>
    </row>
    <row r="2700">
      <c r="A2700" s="3" t="s">
        <v>698</v>
      </c>
      <c r="B2700" s="3" t="s">
        <v>851</v>
      </c>
      <c r="C2700" s="3" t="s">
        <v>2888</v>
      </c>
      <c r="D2700" s="4" t="str">
        <f>HYPERLINK("https://12go.asia/en/travel/sihui/guangxi", "12Go Link")</f>
        <v>12Go Link</v>
      </c>
      <c r="E2700" s="3" t="s">
        <v>94</v>
      </c>
      <c r="K2700" s="5"/>
    </row>
    <row r="2701">
      <c r="A2701" s="3" t="s">
        <v>698</v>
      </c>
      <c r="B2701" s="3" t="s">
        <v>755</v>
      </c>
      <c r="C2701" s="3" t="s">
        <v>2889</v>
      </c>
      <c r="D2701" s="4" t="str">
        <f>HYPERLINK("https://12go.asia/en/travel/sihui/hangzhou", "12Go Link")</f>
        <v>12Go Link</v>
      </c>
      <c r="E2701" s="3" t="s">
        <v>94</v>
      </c>
      <c r="K2701" s="5"/>
    </row>
    <row r="2702">
      <c r="A2702" s="3" t="s">
        <v>698</v>
      </c>
      <c r="B2702" s="3" t="s">
        <v>622</v>
      </c>
      <c r="C2702" s="3" t="s">
        <v>2890</v>
      </c>
      <c r="D2702" s="4" t="str">
        <f>HYPERLINK("https://12go.asia/en/travel/sihui/heshan", "12Go Link")</f>
        <v>12Go Link</v>
      </c>
      <c r="E2702" s="3" t="s">
        <v>94</v>
      </c>
      <c r="K2702" s="5"/>
    </row>
    <row r="2703">
      <c r="A2703" s="3" t="s">
        <v>698</v>
      </c>
      <c r="B2703" s="3" t="s">
        <v>758</v>
      </c>
      <c r="C2703" s="3" t="s">
        <v>2891</v>
      </c>
      <c r="D2703" s="4" t="str">
        <f>HYPERLINK("https://12go.asia/en/travel/sihui/heze", "12Go Link")</f>
        <v>12Go Link</v>
      </c>
      <c r="E2703" s="3" t="s">
        <v>94</v>
      </c>
      <c r="K2703" s="5"/>
    </row>
    <row r="2704">
      <c r="A2704" s="3" t="s">
        <v>698</v>
      </c>
      <c r="B2704" s="3" t="s">
        <v>534</v>
      </c>
      <c r="C2704" s="3" t="s">
        <v>2892</v>
      </c>
      <c r="D2704" s="4" t="str">
        <f>HYPERLINK("https://12go.asia/en/travel/sihui/hubei", "12Go Link")</f>
        <v>12Go Link</v>
      </c>
      <c r="E2704" s="3" t="s">
        <v>94</v>
      </c>
      <c r="K2704" s="5"/>
    </row>
    <row r="2705">
      <c r="A2705" s="3" t="s">
        <v>698</v>
      </c>
      <c r="B2705" s="3" t="s">
        <v>538</v>
      </c>
      <c r="C2705" s="3" t="s">
        <v>2893</v>
      </c>
      <c r="D2705" s="4" t="str">
        <f>HYPERLINK("https://12go.asia/en/travel/sihui/jiangxi", "12Go Link")</f>
        <v>12Go Link</v>
      </c>
      <c r="E2705" s="3" t="s">
        <v>94</v>
      </c>
      <c r="K2705" s="5"/>
    </row>
    <row r="2706">
      <c r="A2706" s="3" t="s">
        <v>698</v>
      </c>
      <c r="B2706" s="3" t="s">
        <v>542</v>
      </c>
      <c r="C2706" s="3" t="s">
        <v>2894</v>
      </c>
      <c r="D2706" s="4" t="str">
        <f>HYPERLINK("https://12go.asia/en/travel/sihui/jiaocheng", "12Go Link")</f>
        <v>12Go Link</v>
      </c>
      <c r="E2706" s="3" t="s">
        <v>94</v>
      </c>
      <c r="K2706" s="5"/>
    </row>
    <row r="2707">
      <c r="A2707" s="3" t="s">
        <v>698</v>
      </c>
      <c r="B2707" s="3" t="s">
        <v>1240</v>
      </c>
      <c r="C2707" s="3" t="s">
        <v>2895</v>
      </c>
      <c r="D2707" s="4" t="str">
        <f>HYPERLINK("https://12go.asia/en/travel/sihui/jinan", "12Go Link")</f>
        <v>12Go Link</v>
      </c>
      <c r="E2707" s="3" t="s">
        <v>94</v>
      </c>
      <c r="K2707" s="5"/>
    </row>
    <row r="2708">
      <c r="A2708" s="3" t="s">
        <v>698</v>
      </c>
      <c r="B2708" s="3" t="s">
        <v>2186</v>
      </c>
      <c r="C2708" s="3" t="s">
        <v>2896</v>
      </c>
      <c r="D2708" s="4" t="str">
        <f>HYPERLINK("https://12go.asia/en/travel/sihui/linyi", "12Go Link")</f>
        <v>12Go Link</v>
      </c>
      <c r="E2708" s="3" t="s">
        <v>94</v>
      </c>
      <c r="K2708" s="5"/>
    </row>
    <row r="2709">
      <c r="A2709" s="3" t="s">
        <v>698</v>
      </c>
      <c r="B2709" s="3" t="s">
        <v>679</v>
      </c>
      <c r="C2709" s="3" t="s">
        <v>2897</v>
      </c>
      <c r="D2709" s="4" t="str">
        <f>HYPERLINK("https://12go.asia/en/travel/sihui/mingxi", "12Go Link")</f>
        <v>12Go Link</v>
      </c>
      <c r="E2709" s="3" t="s">
        <v>94</v>
      </c>
      <c r="K2709" s="5"/>
    </row>
    <row r="2710">
      <c r="A2710" s="3" t="s">
        <v>698</v>
      </c>
      <c r="B2710" s="3" t="s">
        <v>874</v>
      </c>
      <c r="C2710" s="3" t="s">
        <v>2898</v>
      </c>
      <c r="D2710" s="4" t="str">
        <f>HYPERLINK("https://12go.asia/en/travel/sihui/nanchang", "12Go Link")</f>
        <v>12Go Link</v>
      </c>
      <c r="E2710" s="3" t="s">
        <v>94</v>
      </c>
      <c r="K2710" s="5"/>
    </row>
    <row r="2711">
      <c r="A2711" s="3" t="s">
        <v>698</v>
      </c>
      <c r="B2711" s="3" t="s">
        <v>1534</v>
      </c>
      <c r="C2711" s="3" t="s">
        <v>2899</v>
      </c>
      <c r="D2711" s="4" t="str">
        <f>HYPERLINK("https://12go.asia/en/travel/sihui/nanning", "12Go Link")</f>
        <v>12Go Link</v>
      </c>
      <c r="E2711" s="3" t="s">
        <v>94</v>
      </c>
      <c r="K2711" s="5"/>
    </row>
    <row r="2712">
      <c r="A2712" s="3" t="s">
        <v>698</v>
      </c>
      <c r="B2712" s="3" t="s">
        <v>1467</v>
      </c>
      <c r="C2712" s="3" t="s">
        <v>2900</v>
      </c>
      <c r="D2712" s="4" t="str">
        <f>HYPERLINK("https://12go.asia/en/travel/sihui/qingdao", "12Go Link")</f>
        <v>12Go Link</v>
      </c>
      <c r="E2712" s="3" t="s">
        <v>94</v>
      </c>
      <c r="K2712" s="5"/>
    </row>
    <row r="2713">
      <c r="A2713" s="3" t="s">
        <v>698</v>
      </c>
      <c r="B2713" s="3" t="s">
        <v>1249</v>
      </c>
      <c r="C2713" s="3" t="s">
        <v>2901</v>
      </c>
      <c r="D2713" s="4" t="str">
        <f>HYPERLINK("https://12go.asia/en/travel/sihui/rizhao", "12Go Link")</f>
        <v>12Go Link</v>
      </c>
      <c r="E2713" s="3" t="s">
        <v>94</v>
      </c>
      <c r="K2713" s="5"/>
    </row>
    <row r="2714">
      <c r="A2714" s="3" t="s">
        <v>698</v>
      </c>
      <c r="B2714" s="3" t="s">
        <v>1057</v>
      </c>
      <c r="C2714" s="3" t="s">
        <v>2902</v>
      </c>
      <c r="D2714" s="4" t="str">
        <f>HYPERLINK("https://12go.asia/en/travel/sihui/shangqiu", "12Go Link")</f>
        <v>12Go Link</v>
      </c>
      <c r="E2714" s="3" t="s">
        <v>94</v>
      </c>
      <c r="K2714" s="5"/>
    </row>
    <row r="2715">
      <c r="A2715" s="3" t="s">
        <v>698</v>
      </c>
      <c r="B2715" s="3" t="s">
        <v>1395</v>
      </c>
      <c r="C2715" s="3" t="s">
        <v>2903</v>
      </c>
      <c r="D2715" s="4" t="str">
        <f>HYPERLINK("https://12go.asia/en/travel/sihui/shenzhen", "12Go Link")</f>
        <v>12Go Link</v>
      </c>
      <c r="E2715" s="3" t="s">
        <v>94</v>
      </c>
      <c r="K2715" s="5"/>
    </row>
    <row r="2716">
      <c r="A2716" s="3" t="s">
        <v>698</v>
      </c>
      <c r="B2716" s="3" t="s">
        <v>1256</v>
      </c>
      <c r="C2716" s="3" t="s">
        <v>2904</v>
      </c>
      <c r="D2716" s="4" t="str">
        <f>HYPERLINK("https://12go.asia/en/travel/sihui/suzhou", "12Go Link")</f>
        <v>12Go Link</v>
      </c>
      <c r="E2716" s="3" t="s">
        <v>94</v>
      </c>
      <c r="K2716" s="5"/>
    </row>
    <row r="2717">
      <c r="A2717" s="3" t="s">
        <v>698</v>
      </c>
      <c r="B2717" s="3" t="s">
        <v>997</v>
      </c>
      <c r="C2717" s="3" t="s">
        <v>2905</v>
      </c>
      <c r="D2717" s="4" t="str">
        <f>HYPERLINK("https://12go.asia/en/travel/sihui/taian-shandong", "12Go Link")</f>
        <v>12Go Link</v>
      </c>
      <c r="E2717" s="3" t="s">
        <v>94</v>
      </c>
      <c r="K2717" s="5"/>
    </row>
    <row r="2718">
      <c r="A2718" s="3" t="s">
        <v>698</v>
      </c>
      <c r="B2718" s="3" t="s">
        <v>790</v>
      </c>
      <c r="C2718" s="3" t="s">
        <v>2906</v>
      </c>
      <c r="D2718" s="4" t="str">
        <f>HYPERLINK("https://12go.asia/en/travel/sihui/weifang", "12Go Link")</f>
        <v>12Go Link</v>
      </c>
      <c r="E2718" s="3" t="s">
        <v>94</v>
      </c>
      <c r="K2718" s="5"/>
    </row>
    <row r="2719">
      <c r="A2719" s="3" t="s">
        <v>698</v>
      </c>
      <c r="B2719" s="3" t="s">
        <v>1263</v>
      </c>
      <c r="C2719" s="3" t="s">
        <v>2907</v>
      </c>
      <c r="D2719" s="4" t="str">
        <f>HYPERLINK("https://12go.asia/en/travel/sihui/weihai", "12Go Link")</f>
        <v>12Go Link</v>
      </c>
      <c r="E2719" s="3" t="s">
        <v>94</v>
      </c>
      <c r="K2719" s="5"/>
    </row>
    <row r="2720">
      <c r="A2720" s="3" t="s">
        <v>698</v>
      </c>
      <c r="B2720" s="3" t="s">
        <v>796</v>
      </c>
      <c r="C2720" s="3" t="s">
        <v>2908</v>
      </c>
      <c r="D2720" s="4" t="str">
        <f>HYPERLINK("https://12go.asia/en/travel/sihui/wuhan", "12Go Link")</f>
        <v>12Go Link</v>
      </c>
      <c r="E2720" s="3" t="s">
        <v>94</v>
      </c>
      <c r="K2720" s="5"/>
    </row>
    <row r="2721">
      <c r="A2721" s="3" t="s">
        <v>698</v>
      </c>
      <c r="B2721" s="3" t="s">
        <v>712</v>
      </c>
      <c r="C2721" s="3" t="s">
        <v>2909</v>
      </c>
      <c r="D2721" s="4" t="str">
        <f>HYPERLINK("https://12go.asia/en/travel/sihui/xihu", "12Go Link")</f>
        <v>12Go Link</v>
      </c>
      <c r="E2721" s="3" t="s">
        <v>94</v>
      </c>
      <c r="K2721" s="5"/>
    </row>
    <row r="2722">
      <c r="A2722" s="3" t="s">
        <v>698</v>
      </c>
      <c r="B2722" s="3" t="s">
        <v>897</v>
      </c>
      <c r="C2722" s="3" t="s">
        <v>2910</v>
      </c>
      <c r="D2722" s="4" t="str">
        <f>HYPERLINK("https://12go.asia/en/travel/sihui/yantai", "12Go Link")</f>
        <v>12Go Link</v>
      </c>
      <c r="E2722" s="3" t="s">
        <v>94</v>
      </c>
      <c r="K2722" s="5"/>
    </row>
    <row r="2723">
      <c r="A2723" s="3" t="s">
        <v>698</v>
      </c>
      <c r="B2723" s="3" t="s">
        <v>1021</v>
      </c>
      <c r="C2723" s="3" t="s">
        <v>2911</v>
      </c>
      <c r="D2723" s="4" t="str">
        <f>HYPERLINK("https://12go.asia/en/travel/sihui/zhejiang", "12Go Link")</f>
        <v>12Go Link</v>
      </c>
      <c r="E2723" s="3" t="s">
        <v>94</v>
      </c>
      <c r="K2723" s="5"/>
    </row>
    <row r="2724">
      <c r="A2724" s="3" t="s">
        <v>2148</v>
      </c>
      <c r="B2724" s="3" t="s">
        <v>772</v>
      </c>
      <c r="C2724" s="3" t="s">
        <v>2912</v>
      </c>
      <c r="D2724" s="4" t="str">
        <f>HYPERLINK("https://12go.asia/en/travel/siping-east/qiqihar-south", "12Go Link")</f>
        <v>12Go Link</v>
      </c>
      <c r="E2724" s="3" t="s">
        <v>94</v>
      </c>
      <c r="K2724" s="5"/>
    </row>
    <row r="2725">
      <c r="A2725" s="3" t="s">
        <v>2148</v>
      </c>
      <c r="B2725" s="3" t="s">
        <v>772</v>
      </c>
      <c r="C2725" s="3" t="s">
        <v>2913</v>
      </c>
      <c r="D2725" s="4" t="str">
        <f>HYPERLINK("https://12go.asia/en/travel/siping/qiqihar", "12Go Link")</f>
        <v>12Go Link</v>
      </c>
      <c r="E2725" s="3" t="s">
        <v>94</v>
      </c>
      <c r="K2725" s="5"/>
    </row>
    <row r="2726">
      <c r="A2726" s="3" t="s">
        <v>917</v>
      </c>
      <c r="B2726" s="3" t="s">
        <v>1079</v>
      </c>
      <c r="C2726" s="3" t="s">
        <v>2914</v>
      </c>
      <c r="D2726" s="4" t="str">
        <f>HYPERLINK("https://12go.asia/en/travel/shanghai-songjiang/maanshan-east", "12Go Link")</f>
        <v>12Go Link</v>
      </c>
      <c r="E2726" s="3" t="s">
        <v>94</v>
      </c>
      <c r="K2726" s="5"/>
    </row>
    <row r="2727">
      <c r="A2727" s="3" t="s">
        <v>917</v>
      </c>
      <c r="B2727" s="3" t="s">
        <v>1079</v>
      </c>
      <c r="C2727" s="3" t="s">
        <v>2915</v>
      </c>
      <c r="D2727" s="4" t="str">
        <f>HYPERLINK("https://12go.asia/en/travel/shanghai-songjiang/suzhou-east-anhui", "12Go Link")</f>
        <v>12Go Link</v>
      </c>
      <c r="E2727" s="3" t="s">
        <v>94</v>
      </c>
      <c r="K2727" s="5"/>
    </row>
    <row r="2728">
      <c r="A2728" s="3" t="s">
        <v>917</v>
      </c>
      <c r="B2728" s="3" t="s">
        <v>515</v>
      </c>
      <c r="C2728" s="3" t="s">
        <v>2916</v>
      </c>
      <c r="D2728" s="4" t="str">
        <f>HYPERLINK("https://12go.asia/en/travel/shanghai-songjiang/anyang-east", "12Go Link")</f>
        <v>12Go Link</v>
      </c>
      <c r="E2728" s="3" t="s">
        <v>94</v>
      </c>
      <c r="K2728" s="5"/>
    </row>
    <row r="2729">
      <c r="A2729" s="3" t="s">
        <v>917</v>
      </c>
      <c r="B2729" s="3" t="s">
        <v>515</v>
      </c>
      <c r="C2729" s="3" t="s">
        <v>2917</v>
      </c>
      <c r="D2729" s="4" t="str">
        <f>HYPERLINK("https://12go.asia/en/travel/songjiang-shanghai/anyang", "12Go Link")</f>
        <v>12Go Link</v>
      </c>
      <c r="E2729" s="3" t="s">
        <v>94</v>
      </c>
      <c r="K2729" s="5"/>
    </row>
    <row r="2730">
      <c r="A2730" s="3" t="s">
        <v>917</v>
      </c>
      <c r="B2730" s="3" t="s">
        <v>2918</v>
      </c>
      <c r="C2730" s="3" t="s">
        <v>2919</v>
      </c>
      <c r="D2730" s="4" t="str">
        <f>HYPERLINK("https://12go.asia/en/travel/shanghai-songjiang/yanchengdafeng", "12Go Link")</f>
        <v>12Go Link</v>
      </c>
      <c r="E2730" s="3" t="s">
        <v>94</v>
      </c>
      <c r="K2730" s="5"/>
    </row>
    <row r="2731">
      <c r="A2731" s="3" t="s">
        <v>917</v>
      </c>
      <c r="B2731" s="3" t="s">
        <v>2918</v>
      </c>
      <c r="C2731" s="3" t="s">
        <v>2920</v>
      </c>
      <c r="D2731" s="4" t="str">
        <f>HYPERLINK("https://12go.asia/en/travel/songjiang-shanghai/dafeng", "12Go Link")</f>
        <v>12Go Link</v>
      </c>
      <c r="E2731" s="3" t="s">
        <v>94</v>
      </c>
      <c r="K2731" s="5"/>
    </row>
    <row r="2732">
      <c r="A2732" s="3" t="s">
        <v>917</v>
      </c>
      <c r="B2732" s="3" t="s">
        <v>905</v>
      </c>
      <c r="C2732" s="3" t="s">
        <v>2921</v>
      </c>
      <c r="D2732" s="4" t="str">
        <f>HYPERLINK("https://12go.asia/en/travel/shanghai-songjiang/enshi", "12Go Link")</f>
        <v>12Go Link</v>
      </c>
      <c r="E2732" s="3" t="s">
        <v>94</v>
      </c>
      <c r="K2732" s="5"/>
    </row>
    <row r="2733">
      <c r="A2733" s="3" t="s">
        <v>917</v>
      </c>
      <c r="B2733" s="3" t="s">
        <v>905</v>
      </c>
      <c r="C2733" s="3" t="s">
        <v>2922</v>
      </c>
      <c r="D2733" s="4" t="str">
        <f>HYPERLINK("https://12go.asia/en/travel/songjiang-north/laifeng", "12Go Link")</f>
        <v>12Go Link</v>
      </c>
      <c r="E2733" s="3" t="s">
        <v>94</v>
      </c>
      <c r="K2733" s="5"/>
    </row>
    <row r="2734">
      <c r="A2734" s="3" t="s">
        <v>917</v>
      </c>
      <c r="B2734" s="3" t="s">
        <v>905</v>
      </c>
      <c r="C2734" s="3" t="s">
        <v>2923</v>
      </c>
      <c r="D2734" s="4" t="str">
        <f>HYPERLINK("https://12go.asia/en/travel/songjiang-shanghai/enshi", "12Go Link")</f>
        <v>12Go Link</v>
      </c>
      <c r="E2734" s="3" t="s">
        <v>94</v>
      </c>
      <c r="K2734" s="5"/>
    </row>
    <row r="2735">
      <c r="A2735" s="3" t="s">
        <v>917</v>
      </c>
      <c r="B2735" s="3" t="s">
        <v>2816</v>
      </c>
      <c r="C2735" s="3" t="s">
        <v>2924</v>
      </c>
      <c r="D2735" s="4" t="str">
        <f>HYPERLINK("https://12go.asia/en/travel/shanghai-songjiang/fuqing", "12Go Link")</f>
        <v>12Go Link</v>
      </c>
      <c r="E2735" s="3" t="s">
        <v>94</v>
      </c>
      <c r="K2735" s="5"/>
    </row>
    <row r="2736">
      <c r="A2736" s="3" t="s">
        <v>917</v>
      </c>
      <c r="B2736" s="3" t="s">
        <v>2816</v>
      </c>
      <c r="C2736" s="3" t="s">
        <v>2925</v>
      </c>
      <c r="D2736" s="4" t="str">
        <f>HYPERLINK("https://12go.asia/en/travel/songjiang-shanghai/fuqing", "12Go Link")</f>
        <v>12Go Link</v>
      </c>
      <c r="E2736" s="3" t="s">
        <v>94</v>
      </c>
      <c r="K2736" s="5"/>
    </row>
    <row r="2737">
      <c r="A2737" s="3" t="s">
        <v>917</v>
      </c>
      <c r="B2737" s="3" t="s">
        <v>2926</v>
      </c>
      <c r="C2737" s="3" t="s">
        <v>2927</v>
      </c>
      <c r="D2737" s="4" t="str">
        <f>HYPERLINK("https://12go.asia/en/travel/songjiang-north/fushun-north", "12Go Link")</f>
        <v>12Go Link</v>
      </c>
      <c r="E2737" s="3" t="s">
        <v>94</v>
      </c>
      <c r="K2737" s="5"/>
    </row>
    <row r="2738">
      <c r="A2738" s="3" t="s">
        <v>917</v>
      </c>
      <c r="B2738" s="3" t="s">
        <v>2926</v>
      </c>
      <c r="C2738" s="3" t="s">
        <v>2928</v>
      </c>
      <c r="D2738" s="4" t="str">
        <f>HYPERLINK("https://12go.asia/en/travel/songjiang-shanghai/fushun", "12Go Link")</f>
        <v>12Go Link</v>
      </c>
      <c r="E2738" s="3" t="s">
        <v>94</v>
      </c>
      <c r="K2738" s="5"/>
    </row>
    <row r="2739">
      <c r="A2739" s="3" t="s">
        <v>917</v>
      </c>
      <c r="B2739" s="3" t="s">
        <v>2227</v>
      </c>
      <c r="C2739" s="3" t="s">
        <v>2929</v>
      </c>
      <c r="D2739" s="4" t="str">
        <f>HYPERLINK("https://12go.asia/en/travel/songjiang-shanghai/maanshan", "12Go Link")</f>
        <v>12Go Link</v>
      </c>
      <c r="E2739" s="3" t="s">
        <v>94</v>
      </c>
      <c r="K2739" s="5"/>
    </row>
    <row r="2740">
      <c r="A2740" s="3" t="s">
        <v>917</v>
      </c>
      <c r="B2740" s="3" t="s">
        <v>772</v>
      </c>
      <c r="C2740" s="3" t="s">
        <v>2930</v>
      </c>
      <c r="D2740" s="4" t="str">
        <f>HYPERLINK("https://12go.asia/en/travel/songjiang-north/qiqihar", "12Go Link")</f>
        <v>12Go Link</v>
      </c>
      <c r="E2740" s="3" t="s">
        <v>94</v>
      </c>
      <c r="K2740" s="5"/>
    </row>
    <row r="2741">
      <c r="A2741" s="3" t="s">
        <v>917</v>
      </c>
      <c r="B2741" s="3" t="s">
        <v>772</v>
      </c>
      <c r="C2741" s="3" t="s">
        <v>2931</v>
      </c>
      <c r="D2741" s="4" t="str">
        <f>HYPERLINK("https://12go.asia/en/travel/songjiang-shanghai/qiqihar", "12Go Link")</f>
        <v>12Go Link</v>
      </c>
      <c r="E2741" s="3" t="s">
        <v>94</v>
      </c>
      <c r="K2741" s="5"/>
    </row>
    <row r="2742">
      <c r="A2742" s="3" t="s">
        <v>917</v>
      </c>
      <c r="B2742" s="3" t="s">
        <v>1057</v>
      </c>
      <c r="C2742" s="3" t="s">
        <v>2932</v>
      </c>
      <c r="D2742" s="4" t="str">
        <f>HYPERLINK("https://12go.asia/en/travel/shanghai-songjiang/shangqiu", "12Go Link")</f>
        <v>12Go Link</v>
      </c>
      <c r="E2742" s="3" t="s">
        <v>94</v>
      </c>
      <c r="K2742" s="5"/>
    </row>
    <row r="2743">
      <c r="A2743" s="3" t="s">
        <v>917</v>
      </c>
      <c r="B2743" s="3" t="s">
        <v>1057</v>
      </c>
      <c r="C2743" s="3" t="s">
        <v>2933</v>
      </c>
      <c r="D2743" s="4" t="str">
        <f>HYPERLINK("https://12go.asia/en/travel/songjiang-shanghai/shangqiu", "12Go Link")</f>
        <v>12Go Link</v>
      </c>
      <c r="E2743" s="3" t="s">
        <v>94</v>
      </c>
      <c r="K2743" s="5"/>
    </row>
    <row r="2744">
      <c r="A2744" s="3" t="s">
        <v>917</v>
      </c>
      <c r="B2744" s="3" t="s">
        <v>1790</v>
      </c>
      <c r="C2744" s="3" t="s">
        <v>2934</v>
      </c>
      <c r="D2744" s="4" t="str">
        <f>HYPERLINK("https://12go.asia/en/travel/songjiang-north/shiyan", "12Go Link")</f>
        <v>12Go Link</v>
      </c>
      <c r="E2744" s="3" t="s">
        <v>94</v>
      </c>
      <c r="K2744" s="5"/>
    </row>
    <row r="2745">
      <c r="A2745" s="3" t="s">
        <v>917</v>
      </c>
      <c r="B2745" s="3" t="s">
        <v>1790</v>
      </c>
      <c r="C2745" s="3" t="s">
        <v>2935</v>
      </c>
      <c r="D2745" s="4" t="str">
        <f>HYPERLINK("https://12go.asia/en/travel/songjiang-shanghai/shiyan", "12Go Link")</f>
        <v>12Go Link</v>
      </c>
      <c r="E2745" s="3" t="s">
        <v>94</v>
      </c>
      <c r="K2745" s="5"/>
    </row>
    <row r="2746">
      <c r="A2746" s="3" t="s">
        <v>917</v>
      </c>
      <c r="B2746" s="3" t="s">
        <v>895</v>
      </c>
      <c r="C2746" s="3" t="s">
        <v>2936</v>
      </c>
      <c r="D2746" s="4" t="str">
        <f>HYPERLINK("https://12go.asia/en/travel/shanghai-songjiang/yancheng", "12Go Link")</f>
        <v>12Go Link</v>
      </c>
      <c r="E2746" s="3" t="s">
        <v>94</v>
      </c>
      <c r="K2746" s="5"/>
    </row>
    <row r="2747">
      <c r="A2747" s="3" t="s">
        <v>917</v>
      </c>
      <c r="B2747" s="3" t="s">
        <v>895</v>
      </c>
      <c r="C2747" s="3" t="s">
        <v>2937</v>
      </c>
      <c r="D2747" s="4" t="str">
        <f>HYPERLINK("https://12go.asia/en/travel/songjiang-shanghai/yancheng", "12Go Link")</f>
        <v>12Go Link</v>
      </c>
      <c r="E2747" s="3" t="s">
        <v>94</v>
      </c>
      <c r="K2747" s="5"/>
    </row>
    <row r="2748">
      <c r="A2748" s="3" t="s">
        <v>917</v>
      </c>
      <c r="B2748" s="3" t="s">
        <v>2493</v>
      </c>
      <c r="C2748" s="3" t="s">
        <v>2938</v>
      </c>
      <c r="D2748" s="4" t="str">
        <f>HYPERLINK("https://12go.asia/en/travel/shanghai-songjiang/yangzhou-east", "12Go Link")</f>
        <v>12Go Link</v>
      </c>
      <c r="E2748" s="3" t="s">
        <v>94</v>
      </c>
      <c r="K2748" s="5"/>
    </row>
    <row r="2749">
      <c r="A2749" s="3" t="s">
        <v>917</v>
      </c>
      <c r="B2749" s="3" t="s">
        <v>2493</v>
      </c>
      <c r="C2749" s="3" t="s">
        <v>2939</v>
      </c>
      <c r="D2749" s="4" t="str">
        <f>HYPERLINK("https://12go.asia/en/travel/songjiang-shanghai/yangzhou", "12Go Link")</f>
        <v>12Go Link</v>
      </c>
      <c r="E2749" s="3" t="s">
        <v>94</v>
      </c>
      <c r="K2749" s="5"/>
    </row>
    <row r="2750">
      <c r="A2750" s="3" t="s">
        <v>917</v>
      </c>
      <c r="B2750" s="3" t="s">
        <v>2940</v>
      </c>
      <c r="C2750" s="3" t="s">
        <v>2941</v>
      </c>
      <c r="D2750" s="4" t="str">
        <f>HYPERLINK("https://12go.asia/en/travel/songjiang-shanghai/yongqiao", "12Go Link")</f>
        <v>12Go Link</v>
      </c>
      <c r="E2750" s="3" t="s">
        <v>94</v>
      </c>
      <c r="K2750" s="5"/>
    </row>
    <row r="2751">
      <c r="A2751" s="3" t="s">
        <v>917</v>
      </c>
      <c r="B2751" s="3" t="s">
        <v>582</v>
      </c>
      <c r="C2751" s="3" t="s">
        <v>2942</v>
      </c>
      <c r="D2751" s="4" t="str">
        <f>HYPERLINK("https://12go.asia/en/travel/shanghai-songjiang/yuncheng-north", "12Go Link")</f>
        <v>12Go Link</v>
      </c>
      <c r="E2751" s="3" t="s">
        <v>94</v>
      </c>
      <c r="K2751" s="5"/>
    </row>
    <row r="2752">
      <c r="A2752" s="3" t="s">
        <v>917</v>
      </c>
      <c r="B2752" s="3" t="s">
        <v>582</v>
      </c>
      <c r="C2752" s="3" t="s">
        <v>2943</v>
      </c>
      <c r="D2752" s="4" t="str">
        <f>HYPERLINK("https://12go.asia/en/travel/songjiang-shanghai/yuncheng", "12Go Link")</f>
        <v>12Go Link</v>
      </c>
      <c r="E2752" s="3" t="s">
        <v>94</v>
      </c>
      <c r="K2752" s="5"/>
    </row>
    <row r="2753">
      <c r="A2753" s="3" t="s">
        <v>917</v>
      </c>
      <c r="B2753" s="3" t="s">
        <v>2495</v>
      </c>
      <c r="C2753" s="3" t="s">
        <v>2944</v>
      </c>
      <c r="D2753" s="4" t="str">
        <f>HYPERLINK("https://12go.asia/en/travel/shanghai-songjiang/zhangjiagang", "12Go Link")</f>
        <v>12Go Link</v>
      </c>
      <c r="E2753" s="3" t="s">
        <v>94</v>
      </c>
      <c r="K2753" s="5"/>
    </row>
    <row r="2754">
      <c r="A2754" s="3" t="s">
        <v>917</v>
      </c>
      <c r="B2754" s="3" t="s">
        <v>2495</v>
      </c>
      <c r="C2754" s="3" t="s">
        <v>2945</v>
      </c>
      <c r="D2754" s="4" t="str">
        <f>HYPERLINK("https://12go.asia/en/travel/songjiang-shanghai/zhangjiagang", "12Go Link")</f>
        <v>12Go Link</v>
      </c>
      <c r="E2754" s="3" t="s">
        <v>94</v>
      </c>
      <c r="K2754" s="5"/>
    </row>
    <row r="2755">
      <c r="A2755" s="3" t="s">
        <v>917</v>
      </c>
      <c r="B2755" s="3" t="s">
        <v>1726</v>
      </c>
      <c r="C2755" s="3" t="s">
        <v>2946</v>
      </c>
      <c r="D2755" s="4" t="str">
        <f>HYPERLINK("https://12go.asia/en/travel/shanghai-songjiang/zhangzhou", "12Go Link")</f>
        <v>12Go Link</v>
      </c>
      <c r="E2755" s="3" t="s">
        <v>94</v>
      </c>
      <c r="K2755" s="5"/>
    </row>
    <row r="2756">
      <c r="A2756" s="3" t="s">
        <v>917</v>
      </c>
      <c r="B2756" s="3" t="s">
        <v>1726</v>
      </c>
      <c r="C2756" s="3" t="s">
        <v>2947</v>
      </c>
      <c r="D2756" s="4" t="str">
        <f>HYPERLINK("https://12go.asia/en/travel/songjiang-shanghai/zhangzhou-fujian", "12Go Link")</f>
        <v>12Go Link</v>
      </c>
      <c r="E2756" s="3" t="s">
        <v>94</v>
      </c>
      <c r="K2756" s="5"/>
    </row>
    <row r="2757">
      <c r="A2757" s="3" t="s">
        <v>917</v>
      </c>
      <c r="B2757" s="3" t="s">
        <v>727</v>
      </c>
      <c r="C2757" s="3" t="s">
        <v>2948</v>
      </c>
      <c r="D2757" s="4" t="str">
        <f>HYPERLINK("https://12go.asia/en/travel/songjiang-north/zhuzhou", "12Go Link")</f>
        <v>12Go Link</v>
      </c>
      <c r="E2757" s="3" t="s">
        <v>94</v>
      </c>
      <c r="K2757" s="5"/>
    </row>
    <row r="2758">
      <c r="A2758" s="3" t="s">
        <v>917</v>
      </c>
      <c r="B2758" s="3" t="s">
        <v>727</v>
      </c>
      <c r="C2758" s="3" t="s">
        <v>2949</v>
      </c>
      <c r="D2758" s="4" t="str">
        <f>HYPERLINK("https://12go.asia/en/travel/songjiang-shanghai/zhuzhou", "12Go Link")</f>
        <v>12Go Link</v>
      </c>
      <c r="E2758" s="3" t="s">
        <v>94</v>
      </c>
      <c r="K2758" s="5"/>
    </row>
    <row r="2759">
      <c r="A2759" s="3" t="s">
        <v>1765</v>
      </c>
      <c r="B2759" s="3" t="s">
        <v>526</v>
      </c>
      <c r="C2759" s="3" t="s">
        <v>2950</v>
      </c>
      <c r="D2759" s="4" t="str">
        <f>HYPERLINK("https://12go.asia/en/travel/suifenhe/harbin-west", "12Go Link")</f>
        <v>12Go Link</v>
      </c>
      <c r="E2759" s="3" t="s">
        <v>94</v>
      </c>
      <c r="K2759" s="5"/>
    </row>
    <row r="2760">
      <c r="A2760" s="3" t="s">
        <v>1765</v>
      </c>
      <c r="B2760" s="3" t="s">
        <v>554</v>
      </c>
      <c r="C2760" s="3" t="s">
        <v>2951</v>
      </c>
      <c r="D2760" s="4" t="str">
        <f>HYPERLINK("https://12go.asia/en/travel/suifenhe/shenyang", "12Go Link")</f>
        <v>12Go Link</v>
      </c>
      <c r="E2760" s="3" t="s">
        <v>94</v>
      </c>
      <c r="K2760" s="5"/>
    </row>
    <row r="2761">
      <c r="A2761" s="3" t="s">
        <v>1256</v>
      </c>
      <c r="B2761" s="3" t="s">
        <v>1614</v>
      </c>
      <c r="C2761" s="3" t="s">
        <v>2952</v>
      </c>
      <c r="D2761" s="4" t="str">
        <f>HYPERLINK("https://12go.asia/en/travel/suzhou/pingliang", "12Go Link")</f>
        <v>12Go Link</v>
      </c>
      <c r="E2761" s="3" t="s">
        <v>94</v>
      </c>
      <c r="K2761" s="5"/>
    </row>
    <row r="2762">
      <c r="A2762" s="3" t="s">
        <v>1256</v>
      </c>
      <c r="B2762" s="3" t="s">
        <v>801</v>
      </c>
      <c r="C2762" s="3" t="s">
        <v>2953</v>
      </c>
      <c r="D2762" s="4" t="str">
        <f>HYPERLINK("https://12go.asia/en/travel/suzhou-north/xian-west", "12Go Link")</f>
        <v>12Go Link</v>
      </c>
      <c r="E2762" s="3" t="s">
        <v>94</v>
      </c>
      <c r="K2762" s="5"/>
    </row>
    <row r="2763">
      <c r="A2763" s="3" t="s">
        <v>997</v>
      </c>
      <c r="B2763" s="3" t="s">
        <v>1467</v>
      </c>
      <c r="C2763" s="3" t="s">
        <v>2954</v>
      </c>
      <c r="D2763" s="4" t="str">
        <f>HYPERLINK("https://12go.asia/en/travel/taian-shandong/qingdao-west", "12Go Link")</f>
        <v>12Go Link</v>
      </c>
      <c r="E2763" s="3" t="s">
        <v>94</v>
      </c>
      <c r="K2763" s="5"/>
    </row>
    <row r="2764">
      <c r="A2764" s="3" t="s">
        <v>700</v>
      </c>
      <c r="B2764" s="3" t="s">
        <v>1752</v>
      </c>
      <c r="C2764" s="3" t="s">
        <v>2955</v>
      </c>
      <c r="D2764" s="4" t="str">
        <f>HYPERLINK("https://12go.asia/en/travel/taiyuan-south/changzhi-south", "12Go Link")</f>
        <v>12Go Link</v>
      </c>
      <c r="E2764" s="3" t="s">
        <v>94</v>
      </c>
      <c r="K2764" s="5"/>
    </row>
    <row r="2765">
      <c r="A2765" s="3" t="s">
        <v>700</v>
      </c>
      <c r="B2765" s="3" t="s">
        <v>801</v>
      </c>
      <c r="C2765" s="3" t="s">
        <v>2956</v>
      </c>
      <c r="D2765" s="4" t="str">
        <f>HYPERLINK("https://12go.asia/en/travel/taiyuan-south/xian-west", "12Go Link")</f>
        <v>12Go Link</v>
      </c>
      <c r="E2765" s="3" t="s">
        <v>94</v>
      </c>
      <c r="K2765" s="5"/>
    </row>
    <row r="2766">
      <c r="A2766" s="3" t="s">
        <v>2957</v>
      </c>
      <c r="B2766" s="3" t="s">
        <v>1079</v>
      </c>
      <c r="C2766" s="3" t="s">
        <v>2958</v>
      </c>
      <c r="D2766" s="4" t="str">
        <f>HYPERLINK("https://12go.asia/en/travel/taizhou-zhejiang/anhui", "12Go Link")</f>
        <v>12Go Link</v>
      </c>
      <c r="E2766" s="3" t="s">
        <v>94</v>
      </c>
      <c r="K2766" s="5"/>
    </row>
    <row r="2767">
      <c r="A2767" s="3" t="s">
        <v>2957</v>
      </c>
      <c r="B2767" s="3" t="s">
        <v>1079</v>
      </c>
      <c r="C2767" s="3" t="s">
        <v>2959</v>
      </c>
      <c r="D2767" s="4" t="str">
        <f>HYPERLINK("https://12go.asia/en/travel/taizhou/xuancheng", "12Go Link")</f>
        <v>12Go Link</v>
      </c>
      <c r="E2767" s="3" t="s">
        <v>94</v>
      </c>
      <c r="K2767" s="5"/>
    </row>
    <row r="2768">
      <c r="A2768" s="3" t="s">
        <v>2957</v>
      </c>
      <c r="B2768" s="3" t="s">
        <v>716</v>
      </c>
      <c r="C2768" s="3" t="s">
        <v>2960</v>
      </c>
      <c r="D2768" s="4" t="str">
        <f>HYPERLINK("https://12go.asia/en/travel/taizhou-zhejiang/xuanzhou", "12Go Link")</f>
        <v>12Go Link</v>
      </c>
      <c r="E2768" s="3" t="s">
        <v>94</v>
      </c>
      <c r="K2768" s="5"/>
    </row>
    <row r="2769">
      <c r="A2769" s="3" t="s">
        <v>732</v>
      </c>
      <c r="B2769" s="3" t="s">
        <v>532</v>
      </c>
      <c r="C2769" s="3" t="s">
        <v>2961</v>
      </c>
      <c r="D2769" s="4" t="str">
        <f>HYPERLINK("https://12go.asia/en/travel/tangshan/heilongjiang", "12Go Link")</f>
        <v>12Go Link</v>
      </c>
      <c r="E2769" s="3" t="s">
        <v>94</v>
      </c>
      <c r="K2769" s="5"/>
    </row>
    <row r="2770">
      <c r="A2770" s="3" t="s">
        <v>823</v>
      </c>
      <c r="B2770" s="3" t="s">
        <v>2962</v>
      </c>
      <c r="C2770" s="3" t="s">
        <v>2963</v>
      </c>
      <c r="D2770" s="4" t="str">
        <f>HYPERLINK("https://12go.asia/en/travel/tianjin/fengshun", "12Go Link")</f>
        <v>12Go Link</v>
      </c>
      <c r="E2770" s="3" t="s">
        <v>94</v>
      </c>
      <c r="K2770" s="5"/>
    </row>
    <row r="2771">
      <c r="A2771" s="3" t="s">
        <v>823</v>
      </c>
      <c r="B2771" s="3" t="s">
        <v>2962</v>
      </c>
      <c r="C2771" s="3" t="s">
        <v>2964</v>
      </c>
      <c r="D2771" s="4" t="str">
        <f>HYPERLINK("https://12go.asia/en/travel/tianjin/lutai", "12Go Link")</f>
        <v>12Go Link</v>
      </c>
      <c r="E2771" s="3" t="s">
        <v>94</v>
      </c>
      <c r="K2771" s="5"/>
    </row>
    <row r="2772">
      <c r="A2772" s="3" t="s">
        <v>823</v>
      </c>
      <c r="B2772" s="3" t="s">
        <v>1089</v>
      </c>
      <c r="C2772" s="3" t="s">
        <v>2965</v>
      </c>
      <c r="D2772" s="4" t="str">
        <f>HYPERLINK("https://12go.asia/en/travel/tianjin/fuxin", "12Go Link")</f>
        <v>12Go Link</v>
      </c>
      <c r="E2772" s="3" t="s">
        <v>94</v>
      </c>
      <c r="K2772" s="5"/>
    </row>
    <row r="2773">
      <c r="A2773" s="3" t="s">
        <v>823</v>
      </c>
      <c r="B2773" s="3" t="s">
        <v>1089</v>
      </c>
      <c r="C2773" s="3" t="s">
        <v>2966</v>
      </c>
      <c r="D2773" s="4" t="str">
        <f>HYPERLINK("https://12go.asia/en/travel/tianjin/fuxin-south", "12Go Link")</f>
        <v>12Go Link</v>
      </c>
      <c r="E2773" s="3" t="s">
        <v>94</v>
      </c>
      <c r="K2773" s="5"/>
    </row>
    <row r="2774">
      <c r="A2774" s="3" t="s">
        <v>823</v>
      </c>
      <c r="B2774" s="3" t="s">
        <v>1209</v>
      </c>
      <c r="C2774" s="3" t="s">
        <v>2967</v>
      </c>
      <c r="D2774" s="4" t="str">
        <f>HYPERLINK("https://12go.asia/en/travel/tianjin-west/guangyuan", "12Go Link")</f>
        <v>12Go Link</v>
      </c>
      <c r="E2774" s="3" t="s">
        <v>94</v>
      </c>
      <c r="K2774" s="5"/>
    </row>
    <row r="2775">
      <c r="A2775" s="3" t="s">
        <v>823</v>
      </c>
      <c r="B2775" s="3" t="s">
        <v>1209</v>
      </c>
      <c r="C2775" s="3" t="s">
        <v>2968</v>
      </c>
      <c r="D2775" s="4" t="str">
        <f>HYPERLINK("https://12go.asia/en/travel/tianjin/guangyuan", "12Go Link")</f>
        <v>12Go Link</v>
      </c>
      <c r="E2775" s="3" t="s">
        <v>94</v>
      </c>
      <c r="K2775" s="5"/>
    </row>
    <row r="2776">
      <c r="A2776" s="3" t="s">
        <v>823</v>
      </c>
      <c r="B2776" s="3" t="s">
        <v>948</v>
      </c>
      <c r="C2776" s="3" t="s">
        <v>2969</v>
      </c>
      <c r="D2776" s="4" t="str">
        <f>HYPERLINK("https://12go.asia/en/travel/tianjin-west/huashan-north", "12Go Link")</f>
        <v>12Go Link</v>
      </c>
      <c r="E2776" s="3" t="s">
        <v>94</v>
      </c>
      <c r="K2776" s="5"/>
    </row>
    <row r="2777">
      <c r="A2777" s="3" t="s">
        <v>823</v>
      </c>
      <c r="B2777" s="3" t="s">
        <v>948</v>
      </c>
      <c r="C2777" s="3" t="s">
        <v>2970</v>
      </c>
      <c r="D2777" s="4" t="str">
        <f>HYPERLINK("https://12go.asia/en/travel/tianjin/huashan", "12Go Link")</f>
        <v>12Go Link</v>
      </c>
      <c r="E2777" s="3" t="s">
        <v>94</v>
      </c>
      <c r="K2777" s="5"/>
    </row>
    <row r="2778">
      <c r="A2778" s="3" t="s">
        <v>823</v>
      </c>
      <c r="B2778" s="3" t="s">
        <v>766</v>
      </c>
      <c r="C2778" s="3" t="s">
        <v>2971</v>
      </c>
      <c r="D2778" s="4" t="str">
        <f>HYPERLINK("https://12go.asia/en/travel/tianjin-south/jinhua", "12Go Link")</f>
        <v>12Go Link</v>
      </c>
      <c r="E2778" s="3" t="s">
        <v>94</v>
      </c>
      <c r="K2778" s="5"/>
    </row>
    <row r="2779">
      <c r="A2779" s="3" t="s">
        <v>823</v>
      </c>
      <c r="B2779" s="3" t="s">
        <v>766</v>
      </c>
      <c r="C2779" s="3" t="s">
        <v>2972</v>
      </c>
      <c r="D2779" s="4" t="str">
        <f>HYPERLINK("https://12go.asia/en/travel/tianjin-west/jinhua-south", "12Go Link")</f>
        <v>12Go Link</v>
      </c>
      <c r="E2779" s="3" t="s">
        <v>94</v>
      </c>
      <c r="K2779" s="5"/>
    </row>
    <row r="2780">
      <c r="A2780" s="3" t="s">
        <v>823</v>
      </c>
      <c r="B2780" s="3" t="s">
        <v>766</v>
      </c>
      <c r="C2780" s="3" t="s">
        <v>2973</v>
      </c>
      <c r="D2780" s="4" t="str">
        <f>HYPERLINK("https://12go.asia/en/travel/tianjin/jinhua", "12Go Link")</f>
        <v>12Go Link</v>
      </c>
      <c r="E2780" s="3" t="s">
        <v>94</v>
      </c>
      <c r="K2780" s="5"/>
    </row>
    <row r="2781">
      <c r="A2781" s="3" t="s">
        <v>823</v>
      </c>
      <c r="B2781" s="3" t="s">
        <v>766</v>
      </c>
      <c r="C2781" s="3" t="s">
        <v>2974</v>
      </c>
      <c r="D2781" s="4" t="str">
        <f>HYPERLINK("https://12go.asia/en/travel/tianjin/jinhua-south", "12Go Link")</f>
        <v>12Go Link</v>
      </c>
      <c r="E2781" s="3" t="s">
        <v>94</v>
      </c>
      <c r="K2781" s="5"/>
    </row>
    <row r="2782">
      <c r="A2782" s="3" t="s">
        <v>823</v>
      </c>
      <c r="B2782" s="3" t="s">
        <v>2975</v>
      </c>
      <c r="C2782" s="3" t="s">
        <v>2976</v>
      </c>
      <c r="D2782" s="4" t="str">
        <f>HYPERLINK("https://12go.asia/en/travel/tianjin-south/sanming-north", "12Go Link")</f>
        <v>12Go Link</v>
      </c>
      <c r="E2782" s="3" t="s">
        <v>94</v>
      </c>
      <c r="K2782" s="5"/>
    </row>
    <row r="2783">
      <c r="A2783" s="3" t="s">
        <v>823</v>
      </c>
      <c r="B2783" s="3" t="s">
        <v>2975</v>
      </c>
      <c r="C2783" s="3" t="s">
        <v>2977</v>
      </c>
      <c r="D2783" s="4" t="str">
        <f>HYPERLINK("https://12go.asia/en/travel/tianjin/sanming", "12Go Link")</f>
        <v>12Go Link</v>
      </c>
      <c r="E2783" s="3" t="s">
        <v>94</v>
      </c>
      <c r="K2783" s="5"/>
    </row>
    <row r="2784">
      <c r="A2784" s="3" t="s">
        <v>823</v>
      </c>
      <c r="B2784" s="3" t="s">
        <v>2101</v>
      </c>
      <c r="C2784" s="3" t="s">
        <v>2978</v>
      </c>
      <c r="D2784" s="4" t="str">
        <f>HYPERLINK("https://12go.asia/en/travel/tianjin-west/tianshui-south", "12Go Link")</f>
        <v>12Go Link</v>
      </c>
      <c r="E2784" s="3" t="s">
        <v>94</v>
      </c>
      <c r="K2784" s="5"/>
    </row>
    <row r="2785">
      <c r="A2785" s="3" t="s">
        <v>823</v>
      </c>
      <c r="B2785" s="3" t="s">
        <v>2101</v>
      </c>
      <c r="C2785" s="3" t="s">
        <v>2979</v>
      </c>
      <c r="D2785" s="4" t="str">
        <f>HYPERLINK("https://12go.asia/en/travel/tianjin/tianshui", "12Go Link")</f>
        <v>12Go Link</v>
      </c>
      <c r="E2785" s="3" t="s">
        <v>94</v>
      </c>
      <c r="K2785" s="5"/>
    </row>
    <row r="2786">
      <c r="A2786" s="3" t="s">
        <v>823</v>
      </c>
      <c r="B2786" s="3" t="s">
        <v>2980</v>
      </c>
      <c r="C2786" s="3" t="s">
        <v>2981</v>
      </c>
      <c r="D2786" s="4" t="str">
        <f>HYPERLINK("https://12go.asia/en/travel/tianjin/ulanhot", "12Go Link")</f>
        <v>12Go Link</v>
      </c>
      <c r="E2786" s="3" t="s">
        <v>94</v>
      </c>
      <c r="K2786" s="5"/>
    </row>
    <row r="2787">
      <c r="A2787" s="3" t="s">
        <v>823</v>
      </c>
      <c r="B2787" s="3" t="s">
        <v>707</v>
      </c>
      <c r="C2787" s="3" t="s">
        <v>2982</v>
      </c>
      <c r="D2787" s="4" t="str">
        <f>HYPERLINK("https://12go.asia/en/travel/tianjin-south/wuwei", "12Go Link")</f>
        <v>12Go Link</v>
      </c>
      <c r="E2787" s="3" t="s">
        <v>94</v>
      </c>
      <c r="K2787" s="5"/>
    </row>
    <row r="2788">
      <c r="A2788" s="3" t="s">
        <v>823</v>
      </c>
      <c r="B2788" s="3" t="s">
        <v>707</v>
      </c>
      <c r="C2788" s="3" t="s">
        <v>2983</v>
      </c>
      <c r="D2788" s="4" t="str">
        <f>HYPERLINK("https://12go.asia/en/travel/tianjin-west/wuwei", "12Go Link")</f>
        <v>12Go Link</v>
      </c>
      <c r="E2788" s="3" t="s">
        <v>94</v>
      </c>
      <c r="K2788" s="5"/>
    </row>
    <row r="2789">
      <c r="A2789" s="3" t="s">
        <v>823</v>
      </c>
      <c r="B2789" s="3" t="s">
        <v>707</v>
      </c>
      <c r="C2789" s="3" t="s">
        <v>2984</v>
      </c>
      <c r="D2789" s="4" t="str">
        <f>HYPERLINK("https://12go.asia/en/travel/tianjin/wuwei-gansu", "12Go Link")</f>
        <v>12Go Link</v>
      </c>
      <c r="E2789" s="3" t="s">
        <v>94</v>
      </c>
      <c r="K2789" s="5"/>
    </row>
    <row r="2790">
      <c r="A2790" s="3" t="s">
        <v>823</v>
      </c>
      <c r="B2790" s="3" t="s">
        <v>727</v>
      </c>
      <c r="C2790" s="3" t="s">
        <v>2985</v>
      </c>
      <c r="D2790" s="4" t="str">
        <f>HYPERLINK("https://12go.asia/en/travel/tianjin/zhuzhou", "12Go Link")</f>
        <v>12Go Link</v>
      </c>
      <c r="E2790" s="3" t="s">
        <v>94</v>
      </c>
      <c r="K2790" s="5"/>
    </row>
    <row r="2791">
      <c r="A2791" s="3" t="s">
        <v>2101</v>
      </c>
      <c r="B2791" s="3" t="s">
        <v>542</v>
      </c>
      <c r="C2791" s="3" t="s">
        <v>2986</v>
      </c>
      <c r="D2791" s="4" t="str">
        <f>HYPERLINK("https://12go.asia/en/travel/tianshui/jiaocheng", "12Go Link")</f>
        <v>12Go Link</v>
      </c>
      <c r="E2791" s="3" t="s">
        <v>94</v>
      </c>
      <c r="K2791" s="5"/>
    </row>
    <row r="2792">
      <c r="A2792" s="3" t="s">
        <v>2101</v>
      </c>
      <c r="B2792" s="3" t="s">
        <v>2290</v>
      </c>
      <c r="C2792" s="3" t="s">
        <v>2987</v>
      </c>
      <c r="D2792" s="4" t="str">
        <f>HYPERLINK("https://12go.asia/en/travel/tianshui-south/jiuquan-south", "12Go Link")</f>
        <v>12Go Link</v>
      </c>
      <c r="E2792" s="3" t="s">
        <v>94</v>
      </c>
      <c r="K2792" s="5"/>
    </row>
    <row r="2793">
      <c r="A2793" s="3" t="s">
        <v>2101</v>
      </c>
      <c r="B2793" s="3" t="s">
        <v>2290</v>
      </c>
      <c r="C2793" s="3" t="s">
        <v>2988</v>
      </c>
      <c r="D2793" s="4" t="str">
        <f>HYPERLINK("https://12go.asia/en/travel/tianshui/jiuquan", "12Go Link")</f>
        <v>12Go Link</v>
      </c>
      <c r="E2793" s="3" t="s">
        <v>94</v>
      </c>
      <c r="K2793" s="5"/>
    </row>
    <row r="2794">
      <c r="A2794" s="3" t="s">
        <v>2101</v>
      </c>
      <c r="B2794" s="3" t="s">
        <v>874</v>
      </c>
      <c r="C2794" s="3" t="s">
        <v>2989</v>
      </c>
      <c r="D2794" s="4" t="str">
        <f>HYPERLINK("https://12go.asia/en/travel/tianshui-south/nanchang-west", "12Go Link")</f>
        <v>12Go Link</v>
      </c>
      <c r="E2794" s="3" t="s">
        <v>94</v>
      </c>
      <c r="K2794" s="5"/>
    </row>
    <row r="2795">
      <c r="A2795" s="3" t="s">
        <v>2101</v>
      </c>
      <c r="B2795" s="3" t="s">
        <v>874</v>
      </c>
      <c r="C2795" s="3" t="s">
        <v>2990</v>
      </c>
      <c r="D2795" s="4" t="str">
        <f>HYPERLINK("https://12go.asia/en/travel/tianshui/nanchang", "12Go Link")</f>
        <v>12Go Link</v>
      </c>
      <c r="E2795" s="3" t="s">
        <v>94</v>
      </c>
      <c r="K2795" s="5"/>
    </row>
    <row r="2796">
      <c r="A2796" s="3" t="s">
        <v>2101</v>
      </c>
      <c r="B2796" s="3" t="s">
        <v>1252</v>
      </c>
      <c r="C2796" s="3" t="s">
        <v>2991</v>
      </c>
      <c r="D2796" s="4" t="str">
        <f>HYPERLINK("https://12go.asia/en/travel/tianshui/shandong", "12Go Link")</f>
        <v>12Go Link</v>
      </c>
      <c r="E2796" s="3" t="s">
        <v>94</v>
      </c>
      <c r="K2796" s="5"/>
    </row>
    <row r="2797">
      <c r="A2797" s="3" t="s">
        <v>2101</v>
      </c>
      <c r="B2797" s="3" t="s">
        <v>1256</v>
      </c>
      <c r="C2797" s="3" t="s">
        <v>2992</v>
      </c>
      <c r="D2797" s="4" t="str">
        <f>HYPERLINK("https://12go.asia/en/travel/tianshui-south/suzhou", "12Go Link")</f>
        <v>12Go Link</v>
      </c>
      <c r="E2797" s="3" t="s">
        <v>94</v>
      </c>
      <c r="K2797" s="5"/>
    </row>
    <row r="2798">
      <c r="A2798" s="3" t="s">
        <v>2101</v>
      </c>
      <c r="B2798" s="3" t="s">
        <v>1256</v>
      </c>
      <c r="C2798" s="3" t="s">
        <v>2993</v>
      </c>
      <c r="D2798" s="4" t="str">
        <f>HYPERLINK("https://12go.asia/en/travel/tianshui-south/suzhou-north", "12Go Link")</f>
        <v>12Go Link</v>
      </c>
      <c r="E2798" s="3" t="s">
        <v>94</v>
      </c>
      <c r="K2798" s="5"/>
    </row>
    <row r="2799">
      <c r="A2799" s="3" t="s">
        <v>2101</v>
      </c>
      <c r="B2799" s="3" t="s">
        <v>1256</v>
      </c>
      <c r="C2799" s="3" t="s">
        <v>2994</v>
      </c>
      <c r="D2799" s="4" t="str">
        <f>HYPERLINK("https://12go.asia/en/travel/tianshui/suzhou", "12Go Link")</f>
        <v>12Go Link</v>
      </c>
      <c r="E2799" s="3" t="s">
        <v>94</v>
      </c>
      <c r="K2799" s="5"/>
    </row>
    <row r="2800">
      <c r="A2800" s="3" t="s">
        <v>2101</v>
      </c>
      <c r="B2800" s="3" t="s">
        <v>796</v>
      </c>
      <c r="C2800" s="3" t="s">
        <v>2995</v>
      </c>
      <c r="D2800" s="4" t="str">
        <f>HYPERLINK("https://12go.asia/en/travel/tianshui-south/wuhan", "12Go Link")</f>
        <v>12Go Link</v>
      </c>
      <c r="E2800" s="3" t="s">
        <v>94</v>
      </c>
      <c r="K2800" s="5"/>
    </row>
    <row r="2801">
      <c r="A2801" s="3" t="s">
        <v>2101</v>
      </c>
      <c r="B2801" s="3" t="s">
        <v>796</v>
      </c>
      <c r="C2801" s="3" t="s">
        <v>2996</v>
      </c>
      <c r="D2801" s="4" t="str">
        <f>HYPERLINK("https://12go.asia/en/travel/tianshui/wuhan", "12Go Link")</f>
        <v>12Go Link</v>
      </c>
      <c r="E2801" s="3" t="s">
        <v>94</v>
      </c>
      <c r="K2801" s="5"/>
    </row>
    <row r="2802">
      <c r="A2802" s="3" t="s">
        <v>564</v>
      </c>
      <c r="B2802" s="3" t="s">
        <v>2161</v>
      </c>
      <c r="C2802" s="3" t="s">
        <v>2997</v>
      </c>
      <c r="D2802" s="4" t="str">
        <f>HYPERLINK("https://12go.asia/en/travel/tianxin/beidaihe", "12Go Link")</f>
        <v>12Go Link</v>
      </c>
      <c r="E2802" s="3" t="s">
        <v>94</v>
      </c>
      <c r="K2802" s="5"/>
    </row>
    <row r="2803">
      <c r="A2803" s="3" t="s">
        <v>564</v>
      </c>
      <c r="B2803" s="3" t="s">
        <v>2998</v>
      </c>
      <c r="C2803" s="3" t="s">
        <v>2999</v>
      </c>
      <c r="D2803" s="4" t="str">
        <f>HYPERLINK("https://12go.asia/en/travel/tianxin/fuling", "12Go Link")</f>
        <v>12Go Link</v>
      </c>
      <c r="E2803" s="3" t="s">
        <v>94</v>
      </c>
      <c r="K2803" s="5"/>
    </row>
    <row r="2804">
      <c r="A2804" s="3" t="s">
        <v>564</v>
      </c>
      <c r="B2804" s="3" t="s">
        <v>751</v>
      </c>
      <c r="C2804" s="3" t="s">
        <v>3000</v>
      </c>
      <c r="D2804" s="4" t="str">
        <f>HYPERLINK("https://12go.asia/en/travel/tianxin/handan", "12Go Link")</f>
        <v>12Go Link</v>
      </c>
      <c r="E2804" s="3" t="s">
        <v>94</v>
      </c>
      <c r="K2804" s="5"/>
    </row>
    <row r="2805">
      <c r="A2805" s="3" t="s">
        <v>564</v>
      </c>
      <c r="B2805" s="3" t="s">
        <v>948</v>
      </c>
      <c r="C2805" s="3" t="s">
        <v>3001</v>
      </c>
      <c r="D2805" s="4" t="str">
        <f>HYPERLINK("https://12go.asia/en/travel/tianxin/huashan", "12Go Link")</f>
        <v>12Go Link</v>
      </c>
      <c r="E2805" s="3" t="s">
        <v>94</v>
      </c>
      <c r="K2805" s="5"/>
    </row>
    <row r="2806">
      <c r="A2806" s="3" t="s">
        <v>564</v>
      </c>
      <c r="B2806" s="3" t="s">
        <v>2294</v>
      </c>
      <c r="C2806" s="3" t="s">
        <v>3002</v>
      </c>
      <c r="D2806" s="4" t="str">
        <f>HYPERLINK("https://12go.asia/en/travel/tianxin/kaili-city", "12Go Link")</f>
        <v>12Go Link</v>
      </c>
      <c r="E2806" s="3" t="s">
        <v>94</v>
      </c>
      <c r="K2806" s="5"/>
    </row>
    <row r="2807">
      <c r="A2807" s="3" t="s">
        <v>564</v>
      </c>
      <c r="B2807" s="3" t="s">
        <v>975</v>
      </c>
      <c r="C2807" s="3" t="s">
        <v>3003</v>
      </c>
      <c r="D2807" s="4" t="str">
        <f>HYPERLINK("https://12go.asia/en/travel/tianxin/leshan", "12Go Link")</f>
        <v>12Go Link</v>
      </c>
      <c r="E2807" s="3" t="s">
        <v>94</v>
      </c>
      <c r="K2807" s="5"/>
    </row>
    <row r="2808">
      <c r="A2808" s="3" t="s">
        <v>564</v>
      </c>
      <c r="B2808" s="3" t="s">
        <v>978</v>
      </c>
      <c r="C2808" s="3" t="s">
        <v>3004</v>
      </c>
      <c r="D2808" s="4" t="str">
        <f>HYPERLINK("https://12go.asia/en/travel/tianxin/liupanshui", "12Go Link")</f>
        <v>12Go Link</v>
      </c>
      <c r="E2808" s="3" t="s">
        <v>94</v>
      </c>
      <c r="K2808" s="5"/>
    </row>
    <row r="2809">
      <c r="A2809" s="3" t="s">
        <v>564</v>
      </c>
      <c r="B2809" s="3" t="s">
        <v>986</v>
      </c>
      <c r="C2809" s="3" t="s">
        <v>3005</v>
      </c>
      <c r="D2809" s="4" t="str">
        <f>HYPERLINK("https://12go.asia/en/travel/tianxin/pingyao", "12Go Link")</f>
        <v>12Go Link</v>
      </c>
      <c r="E2809" s="3" t="s">
        <v>94</v>
      </c>
      <c r="K2809" s="5"/>
    </row>
    <row r="2810">
      <c r="A2810" s="3" t="s">
        <v>564</v>
      </c>
      <c r="B2810" s="3" t="s">
        <v>548</v>
      </c>
      <c r="C2810" s="3" t="s">
        <v>3006</v>
      </c>
      <c r="D2810" s="4" t="str">
        <f>HYPERLINK("https://12go.asia/en/travel/tianxin/qinghai", "12Go Link")</f>
        <v>12Go Link</v>
      </c>
      <c r="E2810" s="3" t="s">
        <v>94</v>
      </c>
      <c r="K2810" s="5"/>
    </row>
    <row r="2811">
      <c r="A2811" s="3" t="s">
        <v>564</v>
      </c>
      <c r="B2811" s="3" t="s">
        <v>3007</v>
      </c>
      <c r="C2811" s="3" t="s">
        <v>3008</v>
      </c>
      <c r="D2811" s="4" t="str">
        <f>HYPERLINK("https://12go.asia/en/travel/tianxin/sanya", "12Go Link")</f>
        <v>12Go Link</v>
      </c>
      <c r="E2811" s="3" t="s">
        <v>94</v>
      </c>
      <c r="K2811" s="5"/>
    </row>
    <row r="2812">
      <c r="A2812" s="3" t="s">
        <v>564</v>
      </c>
      <c r="B2812" s="3" t="s">
        <v>1057</v>
      </c>
      <c r="C2812" s="3" t="s">
        <v>3009</v>
      </c>
      <c r="D2812" s="4" t="str">
        <f>HYPERLINK("https://12go.asia/en/travel/tianxin/shangqiu", "12Go Link")</f>
        <v>12Go Link</v>
      </c>
      <c r="E2812" s="3" t="s">
        <v>94</v>
      </c>
      <c r="K2812" s="5"/>
    </row>
    <row r="2813">
      <c r="A2813" s="3" t="s">
        <v>564</v>
      </c>
      <c r="B2813" s="3" t="s">
        <v>3010</v>
      </c>
      <c r="C2813" s="3" t="s">
        <v>3011</v>
      </c>
      <c r="D2813" s="4" t="str">
        <f>HYPERLINK("https://12go.asia/en/travel/tianxin/shifeng", "12Go Link")</f>
        <v>12Go Link</v>
      </c>
      <c r="E2813" s="3" t="s">
        <v>94</v>
      </c>
      <c r="K2813" s="5"/>
    </row>
    <row r="2814">
      <c r="A2814" s="3" t="s">
        <v>564</v>
      </c>
      <c r="B2814" s="3" t="s">
        <v>1995</v>
      </c>
      <c r="C2814" s="3" t="s">
        <v>3012</v>
      </c>
      <c r="D2814" s="4" t="str">
        <f>HYPERLINK("https://12go.asia/en/travel/tianxin/urumqi", "12Go Link")</f>
        <v>12Go Link</v>
      </c>
      <c r="E2814" s="3" t="s">
        <v>94</v>
      </c>
      <c r="K2814" s="5"/>
    </row>
    <row r="2815">
      <c r="A2815" s="3" t="s">
        <v>564</v>
      </c>
      <c r="B2815" s="3" t="s">
        <v>570</v>
      </c>
      <c r="C2815" s="3" t="s">
        <v>3013</v>
      </c>
      <c r="D2815" s="4" t="str">
        <f>HYPERLINK("https://12go.asia/en/travel/tianxin/xining", "12Go Link")</f>
        <v>12Go Link</v>
      </c>
      <c r="E2815" s="3" t="s">
        <v>94</v>
      </c>
      <c r="K2815" s="5"/>
    </row>
    <row r="2816">
      <c r="A2816" s="3" t="s">
        <v>564</v>
      </c>
      <c r="B2816" s="3" t="s">
        <v>1900</v>
      </c>
      <c r="C2816" s="3" t="s">
        <v>3014</v>
      </c>
      <c r="D2816" s="4" t="str">
        <f>HYPERLINK("https://12go.asia/en/travel/tianxin/xinjiang", "12Go Link")</f>
        <v>12Go Link</v>
      </c>
      <c r="E2816" s="3" t="s">
        <v>94</v>
      </c>
      <c r="K2816" s="5"/>
    </row>
    <row r="2817">
      <c r="A2817" s="3" t="s">
        <v>564</v>
      </c>
      <c r="B2817" s="3" t="s">
        <v>922</v>
      </c>
      <c r="C2817" s="3" t="s">
        <v>3015</v>
      </c>
      <c r="D2817" s="4" t="str">
        <f>HYPERLINK("https://12go.asia/en/travel/tianxin/yuelu", "12Go Link")</f>
        <v>12Go Link</v>
      </c>
      <c r="E2817" s="3" t="s">
        <v>94</v>
      </c>
      <c r="K2817" s="5"/>
    </row>
    <row r="2818">
      <c r="A2818" s="3" t="s">
        <v>2668</v>
      </c>
      <c r="B2818" s="3" t="s">
        <v>1386</v>
      </c>
      <c r="C2818" s="3" t="s">
        <v>3016</v>
      </c>
      <c r="D2818" s="4" t="str">
        <f>HYPERLINK("https://12go.asia/en/travel/tieling/luoyang", "12Go Link")</f>
        <v>12Go Link</v>
      </c>
      <c r="E2818" s="3" t="s">
        <v>94</v>
      </c>
      <c r="K2818" s="5"/>
    </row>
    <row r="2819">
      <c r="A2819" s="3" t="s">
        <v>2668</v>
      </c>
      <c r="B2819" s="3" t="s">
        <v>700</v>
      </c>
      <c r="C2819" s="3" t="s">
        <v>3017</v>
      </c>
      <c r="D2819" s="4" t="str">
        <f>HYPERLINK("https://12go.asia/en/travel/tieling/taiyuan", "12Go Link")</f>
        <v>12Go Link</v>
      </c>
      <c r="E2819" s="3" t="s">
        <v>94</v>
      </c>
      <c r="K2819" s="5"/>
    </row>
    <row r="2820">
      <c r="A2820" s="3" t="s">
        <v>2668</v>
      </c>
      <c r="B2820" s="3" t="s">
        <v>700</v>
      </c>
      <c r="C2820" s="3" t="s">
        <v>3018</v>
      </c>
      <c r="D2820" s="4" t="str">
        <f>HYPERLINK("https://12go.asia/en/travel/tieling/taiyuan-shanxi", "12Go Link")</f>
        <v>12Go Link</v>
      </c>
      <c r="E2820" s="3" t="s">
        <v>94</v>
      </c>
      <c r="K2820" s="5"/>
    </row>
    <row r="2821">
      <c r="A2821" s="3" t="s">
        <v>1111</v>
      </c>
      <c r="B2821" s="3" t="s">
        <v>3019</v>
      </c>
      <c r="C2821" s="3" t="s">
        <v>3020</v>
      </c>
      <c r="D2821" s="4" t="str">
        <f>HYPERLINK("https://12go.asia/en/travel/tongliao/kailu", "12Go Link")</f>
        <v>12Go Link</v>
      </c>
      <c r="E2821" s="3" t="s">
        <v>94</v>
      </c>
      <c r="K2821" s="5"/>
    </row>
    <row r="2822">
      <c r="A2822" s="3" t="s">
        <v>1111</v>
      </c>
      <c r="B2822" s="3" t="s">
        <v>2980</v>
      </c>
      <c r="C2822" s="3" t="s">
        <v>3021</v>
      </c>
      <c r="D2822" s="4" t="str">
        <f>HYPERLINK("https://12go.asia/en/travel/tongliao/ulanhot", "12Go Link")</f>
        <v>12Go Link</v>
      </c>
      <c r="E2822" s="3" t="s">
        <v>94</v>
      </c>
      <c r="K2822" s="5"/>
    </row>
    <row r="2823">
      <c r="A2823" s="3" t="s">
        <v>1111</v>
      </c>
      <c r="B2823" s="3" t="s">
        <v>1571</v>
      </c>
      <c r="C2823" s="3" t="s">
        <v>3022</v>
      </c>
      <c r="D2823" s="4" t="str">
        <f>HYPERLINK("https://12go.asia/en/travel/tongliao/yakeshi", "12Go Link")</f>
        <v>12Go Link</v>
      </c>
      <c r="E2823" s="3" t="s">
        <v>94</v>
      </c>
      <c r="K2823" s="5"/>
    </row>
    <row r="2824">
      <c r="A2824" s="3" t="s">
        <v>2594</v>
      </c>
      <c r="B2824" s="3" t="s">
        <v>957</v>
      </c>
      <c r="C2824" s="3" t="s">
        <v>3023</v>
      </c>
      <c r="D2824" s="4" t="str">
        <f>HYPERLINK("https://12go.asia/en/travel/tongling/huiyang", "12Go Link")</f>
        <v>12Go Link</v>
      </c>
      <c r="E2824" s="3" t="s">
        <v>94</v>
      </c>
      <c r="K2824" s="5"/>
    </row>
    <row r="2825">
      <c r="A2825" s="3" t="s">
        <v>2594</v>
      </c>
      <c r="B2825" s="3" t="s">
        <v>957</v>
      </c>
      <c r="C2825" s="3" t="s">
        <v>3024</v>
      </c>
      <c r="D2825" s="4" t="str">
        <f>HYPERLINK("https://12go.asia/en/travel/tongling/huiyang-district", "12Go Link")</f>
        <v>12Go Link</v>
      </c>
      <c r="E2825" s="3" t="s">
        <v>94</v>
      </c>
      <c r="K2825" s="5"/>
    </row>
    <row r="2826">
      <c r="A2826" s="3" t="s">
        <v>2594</v>
      </c>
      <c r="B2826" s="3" t="s">
        <v>1822</v>
      </c>
      <c r="C2826" s="3" t="s">
        <v>3025</v>
      </c>
      <c r="D2826" s="4" t="str">
        <f>HYPERLINK("https://12go.asia/en/travel/tongling/huizhou", "12Go Link")</f>
        <v>12Go Link</v>
      </c>
      <c r="E2826" s="3" t="s">
        <v>94</v>
      </c>
      <c r="K2826" s="5"/>
    </row>
    <row r="2827">
      <c r="A2827" s="3" t="s">
        <v>2594</v>
      </c>
      <c r="B2827" s="3" t="s">
        <v>1822</v>
      </c>
      <c r="C2827" s="3" t="s">
        <v>3026</v>
      </c>
      <c r="D2827" s="4" t="str">
        <f>HYPERLINK("https://12go.asia/en/travel/tongling/huizhou-north", "12Go Link")</f>
        <v>12Go Link</v>
      </c>
      <c r="E2827" s="3" t="s">
        <v>94</v>
      </c>
      <c r="K2827" s="5"/>
    </row>
    <row r="2828">
      <c r="A2828" s="3" t="s">
        <v>2594</v>
      </c>
      <c r="B2828" s="3" t="s">
        <v>639</v>
      </c>
      <c r="C2828" s="3" t="s">
        <v>3027</v>
      </c>
      <c r="D2828" s="4" t="str">
        <f>HYPERLINK("https://12go.asia/en/travel/tongling/jiangbei", "12Go Link")</f>
        <v>12Go Link</v>
      </c>
      <c r="E2828" s="3" t="s">
        <v>94</v>
      </c>
      <c r="K2828" s="5"/>
    </row>
    <row r="2829">
      <c r="A2829" s="3" t="s">
        <v>2594</v>
      </c>
      <c r="B2829" s="3" t="s">
        <v>641</v>
      </c>
      <c r="C2829" s="3" t="s">
        <v>3028</v>
      </c>
      <c r="D2829" s="4" t="str">
        <f>HYPERLINK("https://12go.asia/en/travel/tongling/jiangjin", "12Go Link")</f>
        <v>12Go Link</v>
      </c>
      <c r="E2829" s="3" t="s">
        <v>94</v>
      </c>
      <c r="K2829" s="5"/>
    </row>
    <row r="2830">
      <c r="A2830" s="3" t="s">
        <v>2594</v>
      </c>
      <c r="B2830" s="3" t="s">
        <v>645</v>
      </c>
      <c r="C2830" s="3" t="s">
        <v>3029</v>
      </c>
      <c r="D2830" s="4" t="str">
        <f>HYPERLINK("https://12go.asia/en/travel/tongling/jiangxia", "12Go Link")</f>
        <v>12Go Link</v>
      </c>
      <c r="E2830" s="3" t="s">
        <v>94</v>
      </c>
      <c r="K2830" s="5"/>
    </row>
    <row r="2831">
      <c r="A2831" s="3" t="s">
        <v>2594</v>
      </c>
      <c r="B2831" s="3" t="s">
        <v>647</v>
      </c>
      <c r="C2831" s="3" t="s">
        <v>3030</v>
      </c>
      <c r="D2831" s="4" t="str">
        <f>HYPERLINK("https://12go.asia/en/travel/tongling/jiangyuan", "12Go Link")</f>
        <v>12Go Link</v>
      </c>
      <c r="E2831" s="3" t="s">
        <v>94</v>
      </c>
      <c r="K2831" s="5"/>
    </row>
    <row r="2832">
      <c r="A2832" s="3" t="s">
        <v>2594</v>
      </c>
      <c r="B2832" s="3" t="s">
        <v>1174</v>
      </c>
      <c r="C2832" s="3" t="s">
        <v>3031</v>
      </c>
      <c r="D2832" s="4" t="str">
        <f>HYPERLINK("https://12go.asia/en/travel/tongling/quzhou", "12Go Link")</f>
        <v>12Go Link</v>
      </c>
      <c r="E2832" s="3" t="s">
        <v>94</v>
      </c>
      <c r="K2832" s="5"/>
    </row>
    <row r="2833">
      <c r="A2833" s="3" t="s">
        <v>2594</v>
      </c>
      <c r="B2833" s="3" t="s">
        <v>1249</v>
      </c>
      <c r="C2833" s="3" t="s">
        <v>3032</v>
      </c>
      <c r="D2833" s="4" t="str">
        <f>HYPERLINK("https://12go.asia/en/travel/tongling/rizhao", "12Go Link")</f>
        <v>12Go Link</v>
      </c>
      <c r="E2833" s="3" t="s">
        <v>94</v>
      </c>
      <c r="K2833" s="5"/>
    </row>
    <row r="2834">
      <c r="A2834" s="3" t="s">
        <v>2594</v>
      </c>
      <c r="B2834" s="3" t="s">
        <v>1249</v>
      </c>
      <c r="C2834" s="3" t="s">
        <v>3033</v>
      </c>
      <c r="D2834" s="4" t="str">
        <f>HYPERLINK("https://12go.asia/en/travel/tongling/rizhao-west", "12Go Link")</f>
        <v>12Go Link</v>
      </c>
      <c r="E2834" s="3" t="s">
        <v>94</v>
      </c>
      <c r="K2834" s="5"/>
    </row>
    <row r="2835">
      <c r="A2835" s="3" t="s">
        <v>2594</v>
      </c>
      <c r="B2835" s="3" t="s">
        <v>2307</v>
      </c>
      <c r="C2835" s="3" t="s">
        <v>3034</v>
      </c>
      <c r="D2835" s="4" t="str">
        <f>HYPERLINK("https://12go.asia/en/travel/tongling/jianxi", "12Go Link")</f>
        <v>12Go Link</v>
      </c>
      <c r="E2835" s="3" t="s">
        <v>94</v>
      </c>
      <c r="K2835" s="5"/>
    </row>
    <row r="2836">
      <c r="A2836" s="3" t="s">
        <v>2594</v>
      </c>
      <c r="B2836" s="3" t="s">
        <v>2307</v>
      </c>
      <c r="C2836" s="3" t="s">
        <v>3035</v>
      </c>
      <c r="D2836" s="4" t="str">
        <f>HYPERLINK("https://12go.asia/en/travel/tongling/shunchang", "12Go Link")</f>
        <v>12Go Link</v>
      </c>
      <c r="E2836" s="3" t="s">
        <v>94</v>
      </c>
      <c r="K2836" s="5"/>
    </row>
    <row r="2837">
      <c r="A2837" s="3" t="s">
        <v>3036</v>
      </c>
      <c r="B2837" s="3" t="s">
        <v>1529</v>
      </c>
      <c r="C2837" s="3" t="s">
        <v>3037</v>
      </c>
      <c r="D2837" s="4" t="str">
        <f>HYPERLINK("https://12go.asia/en/travel/tongren/kunming", "12Go Link")</f>
        <v>12Go Link</v>
      </c>
      <c r="E2837" s="3" t="s">
        <v>94</v>
      </c>
      <c r="K2837" s="5"/>
    </row>
    <row r="2838">
      <c r="A2838" s="3" t="s">
        <v>3036</v>
      </c>
      <c r="B2838" s="3" t="s">
        <v>1529</v>
      </c>
      <c r="C2838" s="3" t="s">
        <v>3038</v>
      </c>
      <c r="D2838" s="4" t="str">
        <f>HYPERLINK("https://12go.asia/en/travel/tongren/kunming-south", "12Go Link")</f>
        <v>12Go Link</v>
      </c>
      <c r="E2838" s="3" t="s">
        <v>94</v>
      </c>
      <c r="K2838" s="5"/>
    </row>
    <row r="2839">
      <c r="A2839" s="3" t="s">
        <v>3036</v>
      </c>
      <c r="B2839" s="3" t="s">
        <v>975</v>
      </c>
      <c r="C2839" s="3" t="s">
        <v>3039</v>
      </c>
      <c r="D2839" s="4" t="str">
        <f>HYPERLINK("https://12go.asia/en/travel/tongren/leshan", "12Go Link")</f>
        <v>12Go Link</v>
      </c>
      <c r="E2839" s="3" t="s">
        <v>94</v>
      </c>
      <c r="K2839" s="5"/>
    </row>
    <row r="2840">
      <c r="A2840" s="3" t="s">
        <v>3036</v>
      </c>
      <c r="B2840" s="3" t="s">
        <v>560</v>
      </c>
      <c r="C2840" s="3" t="s">
        <v>3040</v>
      </c>
      <c r="D2840" s="4" t="str">
        <f>HYPERLINK("https://12go.asia/en/travel/tongren/shuangliu", "12Go Link")</f>
        <v>12Go Link</v>
      </c>
      <c r="E2840" s="3" t="s">
        <v>94</v>
      </c>
      <c r="K2840" s="5"/>
    </row>
    <row r="2841">
      <c r="A2841" s="3" t="s">
        <v>3036</v>
      </c>
      <c r="B2841" s="3" t="s">
        <v>566</v>
      </c>
      <c r="C2841" s="3" t="s">
        <v>3041</v>
      </c>
      <c r="D2841" s="4" t="str">
        <f>HYPERLINK("https://12go.asia/en/travel/tongren/wenjiang", "12Go Link")</f>
        <v>12Go Link</v>
      </c>
      <c r="E2841" s="3" t="s">
        <v>94</v>
      </c>
      <c r="K2841" s="5"/>
    </row>
    <row r="2842">
      <c r="A2842" s="3" t="s">
        <v>3036</v>
      </c>
      <c r="B2842" s="3" t="s">
        <v>1540</v>
      </c>
      <c r="C2842" s="3" t="s">
        <v>3042</v>
      </c>
      <c r="D2842" s="4" t="str">
        <f>HYPERLINK("https://12go.asia/en/travel/tongren/yunnan", "12Go Link")</f>
        <v>12Go Link</v>
      </c>
      <c r="E2842" s="3" t="s">
        <v>94</v>
      </c>
      <c r="K2842" s="5"/>
    </row>
    <row r="2843">
      <c r="A2843" s="3" t="s">
        <v>3043</v>
      </c>
      <c r="B2843" s="3" t="s">
        <v>593</v>
      </c>
      <c r="C2843" s="3" t="s">
        <v>3044</v>
      </c>
      <c r="D2843" s="4" t="str">
        <f>HYPERLINK("https://12go.asia/en/travel/tongzhou/beijing", "12Go Link")</f>
        <v>12Go Link</v>
      </c>
      <c r="E2843" s="3" t="s">
        <v>94</v>
      </c>
      <c r="K2843" s="5"/>
    </row>
    <row r="2844">
      <c r="A2844" s="3" t="s">
        <v>703</v>
      </c>
      <c r="B2844" s="3" t="s">
        <v>593</v>
      </c>
      <c r="C2844" s="3" t="s">
        <v>3045</v>
      </c>
      <c r="D2844" s="4" t="str">
        <f>HYPERLINK("https://12go.asia/en/travel/turpan-north/beijing-west", "12Go Link")</f>
        <v>12Go Link</v>
      </c>
      <c r="E2844" s="3" t="s">
        <v>94</v>
      </c>
      <c r="K2844" s="5"/>
    </row>
    <row r="2845">
      <c r="A2845" s="3" t="s">
        <v>703</v>
      </c>
      <c r="B2845" s="3" t="s">
        <v>593</v>
      </c>
      <c r="C2845" s="3" t="s">
        <v>3046</v>
      </c>
      <c r="D2845" s="4" t="str">
        <f>HYPERLINK("https://12go.asia/en/travel/turpan/beijing", "12Go Link")</f>
        <v>12Go Link</v>
      </c>
      <c r="E2845" s="3" t="s">
        <v>94</v>
      </c>
      <c r="K2845" s="5"/>
    </row>
    <row r="2846">
      <c r="A2846" s="3" t="s">
        <v>703</v>
      </c>
      <c r="B2846" s="3" t="s">
        <v>1333</v>
      </c>
      <c r="C2846" s="3" t="s">
        <v>3047</v>
      </c>
      <c r="D2846" s="4" t="str">
        <f>HYPERLINK("https://12go.asia/en/travel/turpan-north/chongqing-west", "12Go Link")</f>
        <v>12Go Link</v>
      </c>
      <c r="E2846" s="3" t="s">
        <v>94</v>
      </c>
      <c r="K2846" s="5"/>
    </row>
    <row r="2847">
      <c r="A2847" s="3" t="s">
        <v>703</v>
      </c>
      <c r="B2847" s="3" t="s">
        <v>1333</v>
      </c>
      <c r="C2847" s="3" t="s">
        <v>3048</v>
      </c>
      <c r="D2847" s="4" t="str">
        <f>HYPERLINK("https://12go.asia/en/travel/turpan/chongqing", "12Go Link")</f>
        <v>12Go Link</v>
      </c>
      <c r="E2847" s="3" t="s">
        <v>94</v>
      </c>
      <c r="K2847" s="5"/>
    </row>
    <row r="2848">
      <c r="A2848" s="3" t="s">
        <v>703</v>
      </c>
      <c r="B2848" s="3" t="s">
        <v>1944</v>
      </c>
      <c r="C2848" s="3" t="s">
        <v>3049</v>
      </c>
      <c r="D2848" s="4" t="str">
        <f>HYPERLINK("https://12go.asia/en/travel/tulufan/yumen", "12Go Link")</f>
        <v>12Go Link</v>
      </c>
      <c r="E2848" s="3" t="s">
        <v>94</v>
      </c>
      <c r="K2848" s="5"/>
    </row>
    <row r="2849">
      <c r="A2849" s="3" t="s">
        <v>703</v>
      </c>
      <c r="B2849" s="3" t="s">
        <v>1944</v>
      </c>
      <c r="C2849" s="3" t="s">
        <v>3050</v>
      </c>
      <c r="D2849" s="4" t="str">
        <f>HYPERLINK("https://12go.asia/en/travel/turpan-north/yumen", "12Go Link")</f>
        <v>12Go Link</v>
      </c>
      <c r="E2849" s="3" t="s">
        <v>94</v>
      </c>
      <c r="K2849" s="5"/>
    </row>
    <row r="2850">
      <c r="A2850" s="3" t="s">
        <v>3051</v>
      </c>
      <c r="B2850" s="3" t="s">
        <v>3052</v>
      </c>
      <c r="C2850" s="3" t="s">
        <v>3053</v>
      </c>
      <c r="D2850" s="4" t="str">
        <f>HYPERLINK("https://12go.asia/en/travel/jining-south-inner-mongolia/saihantala", "12Go Link")</f>
        <v>12Go Link</v>
      </c>
      <c r="E2850" s="3" t="s">
        <v>94</v>
      </c>
      <c r="K2850" s="5"/>
    </row>
    <row r="2851">
      <c r="A2851" s="3" t="s">
        <v>3051</v>
      </c>
      <c r="B2851" s="3" t="s">
        <v>3052</v>
      </c>
      <c r="C2851" s="3" t="s">
        <v>3054</v>
      </c>
      <c r="D2851" s="4" t="str">
        <f>HYPERLINK("https://12go.asia/en/travel/ulanqab/sonid-right-banner", "12Go Link")</f>
        <v>12Go Link</v>
      </c>
      <c r="E2851" s="3" t="s">
        <v>94</v>
      </c>
      <c r="K2851" s="5"/>
    </row>
    <row r="2852">
      <c r="A2852" s="3" t="s">
        <v>1995</v>
      </c>
      <c r="B2852" s="3" t="s">
        <v>1209</v>
      </c>
      <c r="C2852" s="3" t="s">
        <v>3055</v>
      </c>
      <c r="D2852" s="4" t="str">
        <f>HYPERLINK("https://12go.asia/en/travel/urumqi/guangyuan", "12Go Link")</f>
        <v>12Go Link</v>
      </c>
      <c r="E2852" s="3" t="s">
        <v>94</v>
      </c>
      <c r="K2852" s="5"/>
    </row>
    <row r="2853">
      <c r="A2853" s="3" t="s">
        <v>1995</v>
      </c>
      <c r="B2853" s="3" t="s">
        <v>1386</v>
      </c>
      <c r="C2853" s="3" t="s">
        <v>3056</v>
      </c>
      <c r="D2853" s="4" t="str">
        <f>HYPERLINK("https://12go.asia/en/travel/urumqi/luoyang", "12Go Link")</f>
        <v>12Go Link</v>
      </c>
      <c r="E2853" s="3" t="s">
        <v>94</v>
      </c>
      <c r="K2853" s="5"/>
    </row>
    <row r="2854">
      <c r="A2854" s="3" t="s">
        <v>1995</v>
      </c>
      <c r="B2854" s="3" t="s">
        <v>703</v>
      </c>
      <c r="C2854" s="3" t="s">
        <v>3057</v>
      </c>
      <c r="D2854" s="4" t="str">
        <f>HYPERLINK("https://12go.asia/en/travel/urumqi-south/tulufan", "12Go Link")</f>
        <v>12Go Link</v>
      </c>
      <c r="E2854" s="3" t="s">
        <v>94</v>
      </c>
      <c r="K2854" s="5"/>
    </row>
    <row r="2855">
      <c r="A2855" s="3" t="s">
        <v>1630</v>
      </c>
      <c r="B2855" s="3" t="s">
        <v>1605</v>
      </c>
      <c r="C2855" s="3" t="s">
        <v>3058</v>
      </c>
      <c r="D2855" s="4" t="str">
        <f>HYPERLINK("https://12go.asia/en/travel/wanzhi/jinta", "12Go Link")</f>
        <v>12Go Link</v>
      </c>
      <c r="E2855" s="3" t="s">
        <v>94</v>
      </c>
      <c r="K2855" s="5"/>
    </row>
    <row r="2856">
      <c r="A2856" s="3" t="s">
        <v>1630</v>
      </c>
      <c r="B2856" s="3" t="s">
        <v>2290</v>
      </c>
      <c r="C2856" s="3" t="s">
        <v>3059</v>
      </c>
      <c r="D2856" s="4" t="str">
        <f>HYPERLINK("https://12go.asia/en/travel/wanzhi/jiuquan", "12Go Link")</f>
        <v>12Go Link</v>
      </c>
      <c r="E2856" s="3" t="s">
        <v>94</v>
      </c>
      <c r="K2856" s="5"/>
    </row>
    <row r="2857">
      <c r="A2857" s="3" t="s">
        <v>1630</v>
      </c>
      <c r="B2857" s="3" t="s">
        <v>548</v>
      </c>
      <c r="C2857" s="3" t="s">
        <v>3060</v>
      </c>
      <c r="D2857" s="4" t="str">
        <f>HYPERLINK("https://12go.asia/en/travel/wanzhi/qinghai", "12Go Link")</f>
        <v>12Go Link</v>
      </c>
      <c r="E2857" s="3" t="s">
        <v>94</v>
      </c>
      <c r="K2857" s="5"/>
    </row>
    <row r="2858">
      <c r="A2858" s="3" t="s">
        <v>1630</v>
      </c>
      <c r="B2858" s="3" t="s">
        <v>2101</v>
      </c>
      <c r="C2858" s="3" t="s">
        <v>3061</v>
      </c>
      <c r="D2858" s="4" t="str">
        <f>HYPERLINK("https://12go.asia/en/travel/shandanmachang/tianshui-south", "12Go Link")</f>
        <v>12Go Link</v>
      </c>
      <c r="E2858" s="3" t="s">
        <v>94</v>
      </c>
      <c r="K2858" s="5"/>
    </row>
    <row r="2859">
      <c r="A2859" s="3" t="s">
        <v>1630</v>
      </c>
      <c r="B2859" s="3" t="s">
        <v>2101</v>
      </c>
      <c r="C2859" s="3" t="s">
        <v>3062</v>
      </c>
      <c r="D2859" s="4" t="str">
        <f>HYPERLINK("https://12go.asia/en/travel/wanzhi/tianshui", "12Go Link")</f>
        <v>12Go Link</v>
      </c>
      <c r="E2859" s="3" t="s">
        <v>94</v>
      </c>
      <c r="K2859" s="5"/>
    </row>
    <row r="2860">
      <c r="A2860" s="3" t="s">
        <v>1630</v>
      </c>
      <c r="B2860" s="3" t="s">
        <v>703</v>
      </c>
      <c r="C2860" s="3" t="s">
        <v>3063</v>
      </c>
      <c r="D2860" s="4" t="str">
        <f>HYPERLINK("https://12go.asia/en/travel/wanzhi/turpan", "12Go Link")</f>
        <v>12Go Link</v>
      </c>
      <c r="E2860" s="3" t="s">
        <v>94</v>
      </c>
      <c r="K2860" s="5"/>
    </row>
    <row r="2861">
      <c r="A2861" s="3" t="s">
        <v>1630</v>
      </c>
      <c r="B2861" s="3" t="s">
        <v>570</v>
      </c>
      <c r="C2861" s="3" t="s">
        <v>3064</v>
      </c>
      <c r="D2861" s="4" t="str">
        <f>HYPERLINK("https://12go.asia/en/travel/shandanmachang/menyuan", "12Go Link")</f>
        <v>12Go Link</v>
      </c>
      <c r="E2861" s="3" t="s">
        <v>94</v>
      </c>
      <c r="K2861" s="5"/>
    </row>
    <row r="2862">
      <c r="A2862" s="3" t="s">
        <v>1630</v>
      </c>
      <c r="B2862" s="3" t="s">
        <v>570</v>
      </c>
      <c r="C2862" s="3" t="s">
        <v>3065</v>
      </c>
      <c r="D2862" s="4" t="str">
        <f>HYPERLINK("https://12go.asia/en/travel/shandanmachang/xining", "12Go Link")</f>
        <v>12Go Link</v>
      </c>
      <c r="E2862" s="3" t="s">
        <v>94</v>
      </c>
      <c r="K2862" s="5"/>
    </row>
    <row r="2863">
      <c r="A2863" s="3" t="s">
        <v>1630</v>
      </c>
      <c r="B2863" s="3" t="s">
        <v>570</v>
      </c>
      <c r="C2863" s="3" t="s">
        <v>3066</v>
      </c>
      <c r="D2863" s="4" t="str">
        <f>HYPERLINK("https://12go.asia/en/travel/wanzhi/xining", "12Go Link")</f>
        <v>12Go Link</v>
      </c>
      <c r="E2863" s="3" t="s">
        <v>94</v>
      </c>
      <c r="K2863" s="5"/>
    </row>
    <row r="2864">
      <c r="A2864" s="3" t="s">
        <v>3067</v>
      </c>
      <c r="B2864" s="3" t="s">
        <v>1333</v>
      </c>
      <c r="C2864" s="3" t="s">
        <v>3068</v>
      </c>
      <c r="D2864" s="4" t="str">
        <f>HYPERLINK("https://12go.asia/en/travel/wanzhou-chongqing/chongqing", "12Go Link")</f>
        <v>12Go Link</v>
      </c>
      <c r="E2864" s="3" t="s">
        <v>94</v>
      </c>
      <c r="K2864" s="5"/>
    </row>
    <row r="2865">
      <c r="A2865" s="3" t="s">
        <v>3067</v>
      </c>
      <c r="B2865" s="3" t="s">
        <v>1333</v>
      </c>
      <c r="C2865" s="3" t="s">
        <v>3069</v>
      </c>
      <c r="D2865" s="4" t="str">
        <f>HYPERLINK("https://12go.asia/en/travel/wanzhou-north/chongqing-north", "12Go Link")</f>
        <v>12Go Link</v>
      </c>
      <c r="E2865" s="3" t="s">
        <v>94</v>
      </c>
      <c r="K2865" s="5"/>
    </row>
    <row r="2866">
      <c r="A2866" s="3" t="s">
        <v>3067</v>
      </c>
      <c r="B2866" s="3" t="s">
        <v>1333</v>
      </c>
      <c r="C2866" s="3" t="s">
        <v>3070</v>
      </c>
      <c r="D2866" s="4" t="str">
        <f>HYPERLINK("https://12go.asia/en/travel/wanzhou-north/chongqing-west", "12Go Link")</f>
        <v>12Go Link</v>
      </c>
      <c r="E2866" s="3" t="s">
        <v>94</v>
      </c>
      <c r="K2866" s="5"/>
    </row>
    <row r="2867">
      <c r="A2867" s="3" t="s">
        <v>3067</v>
      </c>
      <c r="B2867" s="3" t="s">
        <v>655</v>
      </c>
      <c r="C2867" s="3" t="s">
        <v>3071</v>
      </c>
      <c r="D2867" s="4" t="str">
        <f>HYPERLINK("https://12go.asia/en/travel/wanzhou-chongqing/jiaxiang", "12Go Link")</f>
        <v>12Go Link</v>
      </c>
      <c r="E2867" s="3" t="s">
        <v>94</v>
      </c>
      <c r="K2867" s="5"/>
    </row>
    <row r="2868">
      <c r="A2868" s="3" t="s">
        <v>790</v>
      </c>
      <c r="B2868" s="3" t="s">
        <v>2161</v>
      </c>
      <c r="C2868" s="3" t="s">
        <v>3072</v>
      </c>
      <c r="D2868" s="4" t="str">
        <f>HYPERLINK("https://12go.asia/en/travel/weifang-north/funing-east", "12Go Link")</f>
        <v>12Go Link</v>
      </c>
      <c r="E2868" s="3" t="s">
        <v>94</v>
      </c>
      <c r="K2868" s="5"/>
    </row>
    <row r="2869">
      <c r="A2869" s="3" t="s">
        <v>790</v>
      </c>
      <c r="B2869" s="3" t="s">
        <v>2161</v>
      </c>
      <c r="C2869" s="3" t="s">
        <v>3073</v>
      </c>
      <c r="D2869" s="4" t="str">
        <f>HYPERLINK("https://12go.asia/en/travel/weifang/beidaihe", "12Go Link")</f>
        <v>12Go Link</v>
      </c>
      <c r="E2869" s="3" t="s">
        <v>94</v>
      </c>
      <c r="K2869" s="5"/>
    </row>
    <row r="2870">
      <c r="A2870" s="3" t="s">
        <v>790</v>
      </c>
      <c r="B2870" s="3" t="s">
        <v>2161</v>
      </c>
      <c r="C2870" s="3" t="s">
        <v>3074</v>
      </c>
      <c r="D2870" s="4" t="str">
        <f>HYPERLINK("https://12go.asia/en/travel/weifang/funing-east", "12Go Link")</f>
        <v>12Go Link</v>
      </c>
      <c r="E2870" s="3" t="s">
        <v>94</v>
      </c>
      <c r="K2870" s="5"/>
    </row>
    <row r="2871">
      <c r="A2871" s="3" t="s">
        <v>790</v>
      </c>
      <c r="B2871" s="3" t="s">
        <v>831</v>
      </c>
      <c r="C2871" s="3" t="s">
        <v>3075</v>
      </c>
      <c r="D2871" s="4" t="str">
        <f>HYPERLINK("https://12go.asia/en/travel/weifang/changzhou", "12Go Link")</f>
        <v>12Go Link</v>
      </c>
      <c r="E2871" s="3" t="s">
        <v>94</v>
      </c>
      <c r="K2871" s="5"/>
    </row>
    <row r="2872">
      <c r="A2872" s="3" t="s">
        <v>790</v>
      </c>
      <c r="B2872" s="3" t="s">
        <v>831</v>
      </c>
      <c r="C2872" s="3" t="s">
        <v>3076</v>
      </c>
      <c r="D2872" s="4" t="str">
        <f>HYPERLINK("https://12go.asia/en/travel/weifang/changzhou-north", "12Go Link")</f>
        <v>12Go Link</v>
      </c>
      <c r="E2872" s="3" t="s">
        <v>94</v>
      </c>
      <c r="K2872" s="5"/>
    </row>
    <row r="2873">
      <c r="A2873" s="3" t="s">
        <v>790</v>
      </c>
      <c r="B2873" s="3" t="s">
        <v>849</v>
      </c>
      <c r="C2873" s="3" t="s">
        <v>3077</v>
      </c>
      <c r="D2873" s="4" t="str">
        <f>HYPERLINK("https://12go.asia/en/travel/weifang/ganzhou", "12Go Link")</f>
        <v>12Go Link</v>
      </c>
      <c r="E2873" s="3" t="s">
        <v>94</v>
      </c>
      <c r="K2873" s="5"/>
    </row>
    <row r="2874">
      <c r="A2874" s="3" t="s">
        <v>790</v>
      </c>
      <c r="B2874" s="3" t="s">
        <v>1140</v>
      </c>
      <c r="C2874" s="3" t="s">
        <v>3078</v>
      </c>
      <c r="D2874" s="4" t="str">
        <f>HYPERLINK("https://12go.asia/en/travel/weifang/huaian", "12Go Link")</f>
        <v>12Go Link</v>
      </c>
      <c r="E2874" s="3" t="s">
        <v>94</v>
      </c>
      <c r="K2874" s="5"/>
    </row>
    <row r="2875">
      <c r="A2875" s="3" t="s">
        <v>790</v>
      </c>
      <c r="B2875" s="3" t="s">
        <v>1140</v>
      </c>
      <c r="C2875" s="3" t="s">
        <v>3079</v>
      </c>
      <c r="D2875" s="4" t="str">
        <f>HYPERLINK("https://12go.asia/en/travel/weifang/lianshui", "12Go Link")</f>
        <v>12Go Link</v>
      </c>
      <c r="E2875" s="3" t="s">
        <v>94</v>
      </c>
      <c r="K2875" s="5"/>
    </row>
    <row r="2876">
      <c r="A2876" s="3" t="s">
        <v>790</v>
      </c>
      <c r="B2876" s="3" t="s">
        <v>1467</v>
      </c>
      <c r="C2876" s="3" t="s">
        <v>3080</v>
      </c>
      <c r="D2876" s="4" t="str">
        <f>HYPERLINK("https://12go.asia/en/travel/weifang-north/qingdao-west", "12Go Link")</f>
        <v>12Go Link</v>
      </c>
      <c r="E2876" s="3" t="s">
        <v>94</v>
      </c>
      <c r="K2876" s="5"/>
    </row>
    <row r="2877">
      <c r="A2877" s="3" t="s">
        <v>790</v>
      </c>
      <c r="B2877" s="3" t="s">
        <v>1467</v>
      </c>
      <c r="C2877" s="3" t="s">
        <v>3081</v>
      </c>
      <c r="D2877" s="4" t="str">
        <f>HYPERLINK("https://12go.asia/en/travel/weifang/qingdao-west", "12Go Link")</f>
        <v>12Go Link</v>
      </c>
      <c r="E2877" s="3" t="s">
        <v>94</v>
      </c>
      <c r="K2877" s="5"/>
    </row>
    <row r="2878">
      <c r="A2878" s="3" t="s">
        <v>790</v>
      </c>
      <c r="B2878" s="3" t="s">
        <v>1627</v>
      </c>
      <c r="C2878" s="3" t="s">
        <v>3082</v>
      </c>
      <c r="D2878" s="4" t="str">
        <f>HYPERLINK("https://12go.asia/en/travel/weifang/taizhou-jiangsu", "12Go Link")</f>
        <v>12Go Link</v>
      </c>
      <c r="E2878" s="3" t="s">
        <v>94</v>
      </c>
      <c r="K2878" s="5"/>
    </row>
    <row r="2879">
      <c r="A2879" s="3" t="s">
        <v>790</v>
      </c>
      <c r="B2879" s="3" t="s">
        <v>1674</v>
      </c>
      <c r="C2879" s="3" t="s">
        <v>3083</v>
      </c>
      <c r="D2879" s="4" t="str">
        <f>HYPERLINK("https://12go.asia/en/travel/weifang-north/wuhu", "12Go Link")</f>
        <v>12Go Link</v>
      </c>
      <c r="E2879" s="3" t="s">
        <v>94</v>
      </c>
      <c r="K2879" s="5"/>
    </row>
    <row r="2880">
      <c r="A2880" s="3" t="s">
        <v>790</v>
      </c>
      <c r="B2880" s="3" t="s">
        <v>1674</v>
      </c>
      <c r="C2880" s="3" t="s">
        <v>3084</v>
      </c>
      <c r="D2880" s="4" t="str">
        <f>HYPERLINK("https://12go.asia/en/travel/weifang/wuhu", "12Go Link")</f>
        <v>12Go Link</v>
      </c>
      <c r="E2880" s="3" t="s">
        <v>94</v>
      </c>
      <c r="K2880" s="5"/>
    </row>
    <row r="2881">
      <c r="A2881" s="3" t="s">
        <v>1263</v>
      </c>
      <c r="B2881" s="3" t="s">
        <v>2161</v>
      </c>
      <c r="C2881" s="3" t="s">
        <v>3085</v>
      </c>
      <c r="D2881" s="4" t="str">
        <f>HYPERLINK("https://12go.asia/en/travel/weihai/beidaihe", "12Go Link")</f>
        <v>12Go Link</v>
      </c>
      <c r="E2881" s="3" t="s">
        <v>94</v>
      </c>
      <c r="K2881" s="5"/>
    </row>
    <row r="2882">
      <c r="A2882" s="3" t="s">
        <v>1263</v>
      </c>
      <c r="B2882" s="3" t="s">
        <v>2161</v>
      </c>
      <c r="C2882" s="3" t="s">
        <v>3086</v>
      </c>
      <c r="D2882" s="4" t="str">
        <f>HYPERLINK("https://12go.asia/en/travel/weihai/funing-east", "12Go Link")</f>
        <v>12Go Link</v>
      </c>
      <c r="E2882" s="3" t="s">
        <v>94</v>
      </c>
      <c r="K2882" s="5"/>
    </row>
    <row r="2883">
      <c r="A2883" s="3" t="s">
        <v>1263</v>
      </c>
      <c r="B2883" s="3" t="s">
        <v>593</v>
      </c>
      <c r="C2883" s="3" t="s">
        <v>3087</v>
      </c>
      <c r="D2883" s="4" t="str">
        <f>HYPERLINK("https://12go.asia/en/travel/weihai/beijing-west", "12Go Link")</f>
        <v>12Go Link</v>
      </c>
      <c r="E2883" s="3" t="s">
        <v>94</v>
      </c>
      <c r="K2883" s="5"/>
    </row>
    <row r="2884">
      <c r="A2884" s="3" t="s">
        <v>1263</v>
      </c>
      <c r="B2884" s="3" t="s">
        <v>3088</v>
      </c>
      <c r="C2884" s="3" t="s">
        <v>3089</v>
      </c>
      <c r="D2884" s="4" t="str">
        <f>HYPERLINK("https://12go.asia/en/travel/weihai/fuyang", "12Go Link")</f>
        <v>12Go Link</v>
      </c>
      <c r="E2884" s="3" t="s">
        <v>94</v>
      </c>
      <c r="K2884" s="5"/>
    </row>
    <row r="2885">
      <c r="A2885" s="3" t="s">
        <v>1263</v>
      </c>
      <c r="B2885" s="3" t="s">
        <v>1421</v>
      </c>
      <c r="C2885" s="3" t="s">
        <v>3090</v>
      </c>
      <c r="D2885" s="4" t="str">
        <f>HYPERLINK("https://12go.asia/en/travel/weihai/fuyang-anhui", "12Go Link")</f>
        <v>12Go Link</v>
      </c>
      <c r="E2885" s="3" t="s">
        <v>94</v>
      </c>
      <c r="K2885" s="5"/>
    </row>
    <row r="2886">
      <c r="A2886" s="3" t="s">
        <v>1633</v>
      </c>
      <c r="B2886" s="3" t="s">
        <v>3091</v>
      </c>
      <c r="C2886" s="3" t="s">
        <v>3092</v>
      </c>
      <c r="D2886" s="4" t="str">
        <f>HYPERLINK("https://12go.asia/en/travel/weinan-north/zhenjiang-south", "12Go Link")</f>
        <v>12Go Link</v>
      </c>
      <c r="E2886" s="3" t="s">
        <v>94</v>
      </c>
      <c r="K2886" s="5"/>
    </row>
    <row r="2887">
      <c r="A2887" s="3" t="s">
        <v>1633</v>
      </c>
      <c r="B2887" s="3" t="s">
        <v>3091</v>
      </c>
      <c r="C2887" s="3" t="s">
        <v>3093</v>
      </c>
      <c r="D2887" s="4" t="str">
        <f>HYPERLINK("https://12go.asia/en/travel/weinan/zhenjiang", "12Go Link")</f>
        <v>12Go Link</v>
      </c>
      <c r="E2887" s="3" t="s">
        <v>94</v>
      </c>
      <c r="K2887" s="5"/>
    </row>
    <row r="2888">
      <c r="A2888" s="3" t="s">
        <v>566</v>
      </c>
      <c r="B2888" s="3" t="s">
        <v>587</v>
      </c>
      <c r="C2888" s="3" t="s">
        <v>3094</v>
      </c>
      <c r="D2888" s="4" t="str">
        <f>HYPERLINK("https://12go.asia/en/travel/wenjiang/baoding", "12Go Link")</f>
        <v>12Go Link</v>
      </c>
      <c r="E2888" s="3" t="s">
        <v>94</v>
      </c>
      <c r="K2888" s="5"/>
    </row>
    <row r="2889">
      <c r="A2889" s="3" t="s">
        <v>566</v>
      </c>
      <c r="B2889" s="3" t="s">
        <v>1749</v>
      </c>
      <c r="C2889" s="3" t="s">
        <v>3095</v>
      </c>
      <c r="D2889" s="4" t="str">
        <f>HYPERLINK("https://12go.asia/en/travel/wenjiang/hami", "12Go Link")</f>
        <v>12Go Link</v>
      </c>
      <c r="E2889" s="3" t="s">
        <v>94</v>
      </c>
      <c r="K2889" s="5"/>
    </row>
    <row r="2890">
      <c r="A2890" s="3" t="s">
        <v>566</v>
      </c>
      <c r="B2890" s="3" t="s">
        <v>588</v>
      </c>
      <c r="C2890" s="3" t="s">
        <v>3096</v>
      </c>
      <c r="D2890" s="4" t="str">
        <f>HYPERLINK("https://12go.asia/en/travel/wenjiang/kaifeng", "12Go Link")</f>
        <v>12Go Link</v>
      </c>
      <c r="E2890" s="3" t="s">
        <v>94</v>
      </c>
      <c r="K2890" s="5"/>
    </row>
    <row r="2891">
      <c r="A2891" s="3" t="s">
        <v>566</v>
      </c>
      <c r="B2891" s="3" t="s">
        <v>560</v>
      </c>
      <c r="C2891" s="3" t="s">
        <v>3097</v>
      </c>
      <c r="D2891" s="4" t="str">
        <f>HYPERLINK("https://12go.asia/en/travel/wenjiang/shuangliu", "12Go Link")</f>
        <v>12Go Link</v>
      </c>
      <c r="E2891" s="3" t="s">
        <v>94</v>
      </c>
      <c r="K2891" s="5"/>
    </row>
    <row r="2892">
      <c r="A2892" s="3" t="s">
        <v>796</v>
      </c>
      <c r="B2892" s="3" t="s">
        <v>905</v>
      </c>
      <c r="C2892" s="3" t="s">
        <v>3098</v>
      </c>
      <c r="D2892" s="4" t="str">
        <f>HYPERLINK("https://12go.asia/en/travel/hankou/fengjie", "12Go Link")</f>
        <v>12Go Link</v>
      </c>
      <c r="E2892" s="3" t="s">
        <v>94</v>
      </c>
      <c r="K2892" s="5"/>
    </row>
    <row r="2893">
      <c r="A2893" s="3" t="s">
        <v>796</v>
      </c>
      <c r="B2893" s="3" t="s">
        <v>905</v>
      </c>
      <c r="C2893" s="3" t="s">
        <v>3099</v>
      </c>
      <c r="D2893" s="4" t="str">
        <f>HYPERLINK("https://12go.asia/en/travel/wuchang/enshi", "12Go Link")</f>
        <v>12Go Link</v>
      </c>
      <c r="E2893" s="3" t="s">
        <v>94</v>
      </c>
      <c r="K2893" s="5"/>
    </row>
    <row r="2894">
      <c r="A2894" s="3" t="s">
        <v>796</v>
      </c>
      <c r="B2894" s="3" t="s">
        <v>1362</v>
      </c>
      <c r="C2894" s="3" t="s">
        <v>3100</v>
      </c>
      <c r="D2894" s="4" t="str">
        <f>HYPERLINK("https://12go.asia/en/travel/wuhan/minqing-north", "12Go Link")</f>
        <v>12Go Link</v>
      </c>
      <c r="E2894" s="3" t="s">
        <v>94</v>
      </c>
      <c r="K2894" s="5"/>
    </row>
    <row r="2895">
      <c r="A2895" s="3" t="s">
        <v>796</v>
      </c>
      <c r="B2895" s="3" t="s">
        <v>1236</v>
      </c>
      <c r="C2895" s="3" t="s">
        <v>3101</v>
      </c>
      <c r="D2895" s="4" t="str">
        <f>HYPERLINK("https://12go.asia/en/travel/wuchang/hengshui", "12Go Link")</f>
        <v>12Go Link</v>
      </c>
      <c r="E2895" s="3" t="s">
        <v>94</v>
      </c>
      <c r="K2895" s="5"/>
    </row>
    <row r="2896">
      <c r="A2896" s="3" t="s">
        <v>796</v>
      </c>
      <c r="B2896" s="3" t="s">
        <v>1236</v>
      </c>
      <c r="C2896" s="3" t="s">
        <v>3102</v>
      </c>
      <c r="D2896" s="4" t="str">
        <f>HYPERLINK("https://12go.asia/en/travel/wuhan/hengshui", "12Go Link")</f>
        <v>12Go Link</v>
      </c>
      <c r="E2896" s="3" t="s">
        <v>94</v>
      </c>
      <c r="K2896" s="5"/>
    </row>
    <row r="2897">
      <c r="A2897" s="3" t="s">
        <v>796</v>
      </c>
      <c r="B2897" s="3" t="s">
        <v>1236</v>
      </c>
      <c r="C2897" s="3" t="s">
        <v>3103</v>
      </c>
      <c r="D2897" s="4" t="str">
        <f>HYPERLINK("https://12go.asia/en/travel/wuhan/hengshui-north", "12Go Link")</f>
        <v>12Go Link</v>
      </c>
      <c r="E2897" s="3" t="s">
        <v>94</v>
      </c>
      <c r="K2897" s="5"/>
    </row>
    <row r="2898">
      <c r="A2898" s="3" t="s">
        <v>796</v>
      </c>
      <c r="B2898" s="3" t="s">
        <v>758</v>
      </c>
      <c r="C2898" s="3" t="s">
        <v>3104</v>
      </c>
      <c r="D2898" s="4" t="str">
        <f>HYPERLINK("https://12go.asia/en/travel/wuchang/heze", "12Go Link")</f>
        <v>12Go Link</v>
      </c>
      <c r="E2898" s="3" t="s">
        <v>94</v>
      </c>
      <c r="K2898" s="5"/>
    </row>
    <row r="2899">
      <c r="A2899" s="3" t="s">
        <v>796</v>
      </c>
      <c r="B2899" s="3" t="s">
        <v>758</v>
      </c>
      <c r="C2899" s="3" t="s">
        <v>3105</v>
      </c>
      <c r="D2899" s="4" t="str">
        <f>HYPERLINK("https://12go.asia/en/travel/wuhan/heze", "12Go Link")</f>
        <v>12Go Link</v>
      </c>
      <c r="E2899" s="3" t="s">
        <v>94</v>
      </c>
      <c r="K2899" s="5"/>
    </row>
    <row r="2900">
      <c r="A2900" s="3" t="s">
        <v>796</v>
      </c>
      <c r="B2900" s="3" t="s">
        <v>758</v>
      </c>
      <c r="C2900" s="3" t="s">
        <v>3106</v>
      </c>
      <c r="D2900" s="4" t="str">
        <f>HYPERLINK("https://12go.asia/en/travel/wuhan/heze-east-railway-station", "12Go Link")</f>
        <v>12Go Link</v>
      </c>
      <c r="E2900" s="3" t="s">
        <v>94</v>
      </c>
      <c r="K2900" s="5"/>
    </row>
    <row r="2901">
      <c r="A2901" s="3" t="s">
        <v>796</v>
      </c>
      <c r="B2901" s="3" t="s">
        <v>3107</v>
      </c>
      <c r="C2901" s="3" t="s">
        <v>3108</v>
      </c>
      <c r="D2901" s="4" t="str">
        <f>HYPERLINK("https://12go.asia/en/travel/wuchang/huangshi-north", "12Go Link")</f>
        <v>12Go Link</v>
      </c>
      <c r="E2901" s="3" t="s">
        <v>94</v>
      </c>
      <c r="K2901" s="5"/>
    </row>
    <row r="2902">
      <c r="A2902" s="3" t="s">
        <v>796</v>
      </c>
      <c r="B2902" s="3" t="s">
        <v>588</v>
      </c>
      <c r="C2902" s="3" t="s">
        <v>3109</v>
      </c>
      <c r="D2902" s="4" t="str">
        <f>HYPERLINK("https://12go.asia/en/travel/wuchang/kaifeng", "12Go Link")</f>
        <v>12Go Link</v>
      </c>
      <c r="E2902" s="3" t="s">
        <v>94</v>
      </c>
      <c r="K2902" s="5"/>
    </row>
    <row r="2903">
      <c r="A2903" s="3" t="s">
        <v>796</v>
      </c>
      <c r="B2903" s="3" t="s">
        <v>2294</v>
      </c>
      <c r="C2903" s="3" t="s">
        <v>3110</v>
      </c>
      <c r="D2903" s="4" t="str">
        <f>HYPERLINK("https://12go.asia/en/travel/wuchang/kaili", "12Go Link")</f>
        <v>12Go Link</v>
      </c>
      <c r="E2903" s="3" t="s">
        <v>94</v>
      </c>
      <c r="K2903" s="5"/>
    </row>
    <row r="2904">
      <c r="A2904" s="3" t="s">
        <v>796</v>
      </c>
      <c r="B2904" s="3" t="s">
        <v>2294</v>
      </c>
      <c r="C2904" s="3" t="s">
        <v>3111</v>
      </c>
      <c r="D2904" s="4" t="str">
        <f>HYPERLINK("https://12go.asia/en/travel/wuhan/kaili-city", "12Go Link")</f>
        <v>12Go Link</v>
      </c>
      <c r="E2904" s="3" t="s">
        <v>94</v>
      </c>
      <c r="K2904" s="5"/>
    </row>
    <row r="2905">
      <c r="A2905" s="3" t="s">
        <v>796</v>
      </c>
      <c r="B2905" s="3" t="s">
        <v>2294</v>
      </c>
      <c r="C2905" s="3" t="s">
        <v>3112</v>
      </c>
      <c r="D2905" s="4" t="str">
        <f>HYPERLINK("https://12go.asia/en/travel/wuhan/kaili-south", "12Go Link")</f>
        <v>12Go Link</v>
      </c>
      <c r="E2905" s="3" t="s">
        <v>94</v>
      </c>
      <c r="K2905" s="5"/>
    </row>
    <row r="2906">
      <c r="A2906" s="3" t="s">
        <v>796</v>
      </c>
      <c r="B2906" s="3" t="s">
        <v>823</v>
      </c>
      <c r="C2906" s="3" t="s">
        <v>3113</v>
      </c>
      <c r="D2906" s="4" t="str">
        <f>HYPERLINK("https://12go.asia/en/travel/hankou/tianjin-west", "12Go Link")</f>
        <v>12Go Link</v>
      </c>
      <c r="E2906" s="3" t="s">
        <v>94</v>
      </c>
      <c r="K2906" s="5"/>
    </row>
    <row r="2907">
      <c r="A2907" s="3" t="s">
        <v>1403</v>
      </c>
      <c r="B2907" s="3" t="s">
        <v>1362</v>
      </c>
      <c r="C2907" s="3" t="s">
        <v>3114</v>
      </c>
      <c r="D2907" s="4" t="str">
        <f>HYPERLINK("https://12go.asia/en/travel/xiamen/yanshi-south-fujian", "12Go Link")</f>
        <v>12Go Link</v>
      </c>
      <c r="E2907" s="3" t="s">
        <v>94</v>
      </c>
      <c r="K2907" s="5"/>
    </row>
    <row r="2908">
      <c r="A2908" s="3" t="s">
        <v>1403</v>
      </c>
      <c r="B2908" s="3" t="s">
        <v>755</v>
      </c>
      <c r="C2908" s="3" t="s">
        <v>3115</v>
      </c>
      <c r="D2908" s="4" t="str">
        <f>HYPERLINK("https://12go.asia/en/travel/xiamen-north/hangzhou-west", "12Go Link")</f>
        <v>12Go Link</v>
      </c>
      <c r="E2908" s="3" t="s">
        <v>94</v>
      </c>
      <c r="K2908" s="5"/>
    </row>
    <row r="2909">
      <c r="A2909" s="3" t="s">
        <v>1403</v>
      </c>
      <c r="B2909" s="3" t="s">
        <v>957</v>
      </c>
      <c r="C2909" s="3" t="s">
        <v>3116</v>
      </c>
      <c r="D2909" s="4" t="str">
        <f>HYPERLINK("https://12go.asia/en/travel/xiamen-north/huiyang", "12Go Link")</f>
        <v>12Go Link</v>
      </c>
      <c r="E2909" s="3" t="s">
        <v>94</v>
      </c>
      <c r="K2909" s="5"/>
    </row>
    <row r="2910">
      <c r="A2910" s="3" t="s">
        <v>1403</v>
      </c>
      <c r="B2910" s="3" t="s">
        <v>957</v>
      </c>
      <c r="C2910" s="3" t="s">
        <v>3117</v>
      </c>
      <c r="D2910" s="4" t="str">
        <f>HYPERLINK("https://12go.asia/en/travel/xiamen/huiyang", "12Go Link")</f>
        <v>12Go Link</v>
      </c>
      <c r="E2910" s="3" t="s">
        <v>94</v>
      </c>
      <c r="K2910" s="5"/>
    </row>
    <row r="2911">
      <c r="A2911" s="3" t="s">
        <v>1403</v>
      </c>
      <c r="B2911" s="3" t="s">
        <v>957</v>
      </c>
      <c r="C2911" s="3" t="s">
        <v>3118</v>
      </c>
      <c r="D2911" s="4" t="str">
        <f>HYPERLINK("https://12go.asia/en/travel/xiamen/huiyang-district", "12Go Link")</f>
        <v>12Go Link</v>
      </c>
      <c r="E2911" s="3" t="s">
        <v>94</v>
      </c>
      <c r="K2911" s="5"/>
    </row>
    <row r="2912">
      <c r="A2912" s="3" t="s">
        <v>801</v>
      </c>
      <c r="B2912" s="3" t="s">
        <v>593</v>
      </c>
      <c r="C2912" s="3" t="s">
        <v>3119</v>
      </c>
      <c r="D2912" s="4" t="str">
        <f>HYPERLINK("https://12go.asia/en/travel/xian-south/beijing-west", "12Go Link")</f>
        <v>12Go Link</v>
      </c>
      <c r="E2912" s="3" t="s">
        <v>94</v>
      </c>
      <c r="K2912" s="5"/>
    </row>
    <row r="2913">
      <c r="A2913" s="3" t="s">
        <v>801</v>
      </c>
      <c r="B2913" s="3" t="s">
        <v>755</v>
      </c>
      <c r="C2913" s="3" t="s">
        <v>3120</v>
      </c>
      <c r="D2913" s="4" t="str">
        <f>HYPERLINK("https://12go.asia/en/travel/xian-north/hangzhou-west", "12Go Link")</f>
        <v>12Go Link</v>
      </c>
      <c r="E2913" s="3" t="s">
        <v>94</v>
      </c>
      <c r="K2913" s="5"/>
    </row>
    <row r="2914">
      <c r="A2914" s="3" t="s">
        <v>801</v>
      </c>
      <c r="B2914" s="3" t="s">
        <v>1291</v>
      </c>
      <c r="C2914" s="3" t="s">
        <v>3121</v>
      </c>
      <c r="D2914" s="4" t="str">
        <f>HYPERLINK("https://12go.asia/en/travel/xian/jian-jiangxi", "12Go Link")</f>
        <v>12Go Link</v>
      </c>
      <c r="E2914" s="3" t="s">
        <v>94</v>
      </c>
      <c r="K2914" s="5"/>
    </row>
    <row r="2915">
      <c r="A2915" s="3" t="s">
        <v>801</v>
      </c>
      <c r="B2915" s="3" t="s">
        <v>975</v>
      </c>
      <c r="C2915" s="3" t="s">
        <v>3122</v>
      </c>
      <c r="D2915" s="4" t="str">
        <f>HYPERLINK("https://12go.asia/en/travel/xian-north/qianwei", "12Go Link")</f>
        <v>12Go Link</v>
      </c>
      <c r="E2915" s="3" t="s">
        <v>94</v>
      </c>
      <c r="K2915" s="5"/>
    </row>
    <row r="2916">
      <c r="A2916" s="3" t="s">
        <v>801</v>
      </c>
      <c r="B2916" s="3" t="s">
        <v>1220</v>
      </c>
      <c r="C2916" s="3" t="s">
        <v>3123</v>
      </c>
      <c r="D2916" s="4" t="str">
        <f>HYPERLINK("https://12go.asia/en/travel/xian-north/qingyang", "12Go Link")</f>
        <v>12Go Link</v>
      </c>
      <c r="E2916" s="3" t="s">
        <v>94</v>
      </c>
      <c r="K2916" s="5"/>
    </row>
    <row r="2917">
      <c r="A2917" s="3" t="s">
        <v>801</v>
      </c>
      <c r="B2917" s="3" t="s">
        <v>1220</v>
      </c>
      <c r="C2917" s="3" t="s">
        <v>3124</v>
      </c>
      <c r="D2917" s="4" t="str">
        <f>HYPERLINK("https://12go.asia/en/travel/xian/quanzhou", "12Go Link")</f>
        <v>12Go Link</v>
      </c>
      <c r="E2917" s="3" t="s">
        <v>94</v>
      </c>
      <c r="K2917" s="5"/>
    </row>
    <row r="2918">
      <c r="A2918" s="3" t="s">
        <v>801</v>
      </c>
      <c r="B2918" s="3" t="s">
        <v>801</v>
      </c>
      <c r="C2918" s="3" t="s">
        <v>3125</v>
      </c>
      <c r="D2918" s="4" t="str">
        <f>HYPERLINK("https://12go.asia/en/travel/xian-north/xian-west", "12Go Link")</f>
        <v>12Go Link</v>
      </c>
      <c r="E2918" s="3" t="s">
        <v>94</v>
      </c>
      <c r="K2918" s="5"/>
    </row>
    <row r="2919">
      <c r="A2919" s="3" t="s">
        <v>801</v>
      </c>
      <c r="B2919" s="3" t="s">
        <v>801</v>
      </c>
      <c r="C2919" s="3" t="s">
        <v>3126</v>
      </c>
      <c r="D2919" s="4" t="str">
        <f>HYPERLINK("https://12go.asia/en/travel/xian/xian-west", "12Go Link")</f>
        <v>12Go Link</v>
      </c>
      <c r="E2919" s="3" t="s">
        <v>94</v>
      </c>
      <c r="K2919" s="5"/>
    </row>
    <row r="2920">
      <c r="A2920" s="3" t="s">
        <v>801</v>
      </c>
      <c r="B2920" s="3" t="s">
        <v>570</v>
      </c>
      <c r="C2920" s="3" t="s">
        <v>3127</v>
      </c>
      <c r="D2920" s="4" t="str">
        <f>HYPERLINK("https://12go.asia/en/travel/xian-north/menyuan", "12Go Link")</f>
        <v>12Go Link</v>
      </c>
      <c r="E2920" s="3" t="s">
        <v>94</v>
      </c>
      <c r="K2920" s="5"/>
    </row>
    <row r="2921">
      <c r="A2921" s="3" t="s">
        <v>801</v>
      </c>
      <c r="B2921" s="3" t="s">
        <v>585</v>
      </c>
      <c r="C2921" s="3" t="s">
        <v>3128</v>
      </c>
      <c r="D2921" s="4" t="str">
        <f>HYPERLINK("https://12go.asia/en/travel/xian-north/zhengzhou-hangkonggang", "12Go Link")</f>
        <v>12Go Link</v>
      </c>
      <c r="E2921" s="3" t="s">
        <v>94</v>
      </c>
      <c r="K2921" s="5"/>
    </row>
    <row r="2922">
      <c r="A2922" s="3" t="s">
        <v>801</v>
      </c>
      <c r="B2922" s="3" t="s">
        <v>585</v>
      </c>
      <c r="C2922" s="3" t="s">
        <v>3129</v>
      </c>
      <c r="D2922" s="4" t="str">
        <f>HYPERLINK("https://12go.asia/en/travel/xian-north/zhengzhou-west", "12Go Link")</f>
        <v>12Go Link</v>
      </c>
      <c r="E2922" s="3" t="s">
        <v>94</v>
      </c>
      <c r="K2922" s="5"/>
    </row>
    <row r="2923">
      <c r="A2923" s="3" t="s">
        <v>1006</v>
      </c>
      <c r="B2923" s="3" t="s">
        <v>1333</v>
      </c>
      <c r="C2923" s="3" t="s">
        <v>3130</v>
      </c>
      <c r="D2923" s="4" t="str">
        <f>HYPERLINK("https://12go.asia/en/travel/xiangtan/chongqing", "12Go Link")</f>
        <v>12Go Link</v>
      </c>
      <c r="E2923" s="3" t="s">
        <v>94</v>
      </c>
      <c r="K2923" s="5"/>
    </row>
    <row r="2924">
      <c r="A2924" s="3" t="s">
        <v>1006</v>
      </c>
      <c r="B2924" s="3" t="s">
        <v>1333</v>
      </c>
      <c r="C2924" s="3" t="s">
        <v>3131</v>
      </c>
      <c r="D2924" s="4" t="str">
        <f>HYPERLINK("https://12go.asia/en/travel/xiangtan/chongqing-north", "12Go Link")</f>
        <v>12Go Link</v>
      </c>
      <c r="E2924" s="3" t="s">
        <v>94</v>
      </c>
      <c r="K2924" s="5"/>
    </row>
    <row r="2925">
      <c r="A2925" s="3" t="s">
        <v>1406</v>
      </c>
      <c r="B2925" s="3" t="s">
        <v>878</v>
      </c>
      <c r="C2925" s="3" t="s">
        <v>3132</v>
      </c>
      <c r="D2925" s="4" t="str">
        <f>HYPERLINK("https://12go.asia/en/travel/xiangyang-east/shijiazhuang", "12Go Link")</f>
        <v>12Go Link</v>
      </c>
      <c r="E2925" s="3" t="s">
        <v>94</v>
      </c>
      <c r="K2925" s="5"/>
    </row>
    <row r="2926">
      <c r="A2926" s="3" t="s">
        <v>1406</v>
      </c>
      <c r="B2926" s="3" t="s">
        <v>878</v>
      </c>
      <c r="C2926" s="3" t="s">
        <v>3133</v>
      </c>
      <c r="D2926" s="4" t="str">
        <f>HYPERLINK("https://12go.asia/en/travel/xiangyang/shijiazhuang", "12Go Link")</f>
        <v>12Go Link</v>
      </c>
      <c r="E2926" s="3" t="s">
        <v>94</v>
      </c>
      <c r="K2926" s="5"/>
    </row>
    <row r="2927">
      <c r="A2927" s="3" t="s">
        <v>570</v>
      </c>
      <c r="B2927" s="3" t="s">
        <v>1822</v>
      </c>
      <c r="C2927" s="3" t="s">
        <v>3134</v>
      </c>
      <c r="D2927" s="4" t="str">
        <f>HYPERLINK("https://12go.asia/en/travel/xining/huizhou", "12Go Link")</f>
        <v>12Go Link</v>
      </c>
      <c r="E2927" s="3" t="s">
        <v>94</v>
      </c>
      <c r="K2927" s="5"/>
    </row>
    <row r="2928">
      <c r="A2928" s="3" t="s">
        <v>1640</v>
      </c>
      <c r="B2928" s="3" t="s">
        <v>1761</v>
      </c>
      <c r="C2928" s="3" t="s">
        <v>3135</v>
      </c>
      <c r="D2928" s="4" t="str">
        <f>HYPERLINK("https://12go.asia/en/travel/xinxiang-east/dalian-north", "12Go Link")</f>
        <v>12Go Link</v>
      </c>
      <c r="E2928" s="3" t="s">
        <v>94</v>
      </c>
      <c r="K2928" s="5"/>
    </row>
    <row r="2929">
      <c r="A2929" s="3" t="s">
        <v>1640</v>
      </c>
      <c r="B2929" s="3" t="s">
        <v>1761</v>
      </c>
      <c r="C2929" s="3" t="s">
        <v>3136</v>
      </c>
      <c r="D2929" s="4" t="str">
        <f>HYPERLINK("https://12go.asia/en/travel/xinxiang/dalian", "12Go Link")</f>
        <v>12Go Link</v>
      </c>
      <c r="E2929" s="3" t="s">
        <v>94</v>
      </c>
      <c r="K2929" s="5"/>
    </row>
    <row r="2930">
      <c r="A2930" s="3" t="s">
        <v>1640</v>
      </c>
      <c r="B2930" s="3" t="s">
        <v>878</v>
      </c>
      <c r="C2930" s="3" t="s">
        <v>3137</v>
      </c>
      <c r="D2930" s="4" t="str">
        <f>HYPERLINK("https://12go.asia/en/travel/xinxiang-east/shijiazhuang", "12Go Link")</f>
        <v>12Go Link</v>
      </c>
      <c r="E2930" s="3" t="s">
        <v>94</v>
      </c>
      <c r="K2930" s="5"/>
    </row>
    <row r="2931">
      <c r="A2931" s="3" t="s">
        <v>1640</v>
      </c>
      <c r="B2931" s="3" t="s">
        <v>878</v>
      </c>
      <c r="C2931" s="3" t="s">
        <v>3138</v>
      </c>
      <c r="D2931" s="4" t="str">
        <f>HYPERLINK("https://12go.asia/en/travel/xinxiang/shijiazhuang", "12Go Link")</f>
        <v>12Go Link</v>
      </c>
      <c r="E2931" s="3" t="s">
        <v>94</v>
      </c>
      <c r="K2931" s="5"/>
    </row>
    <row r="2932">
      <c r="A2932" s="3" t="s">
        <v>1640</v>
      </c>
      <c r="B2932" s="3" t="s">
        <v>878</v>
      </c>
      <c r="C2932" s="3" t="s">
        <v>3139</v>
      </c>
      <c r="D2932" s="4" t="str">
        <f>HYPERLINK("https://12go.asia/en/travel/xinxiang/shijiazhuang-north", "12Go Link")</f>
        <v>12Go Link</v>
      </c>
      <c r="E2932" s="3" t="s">
        <v>94</v>
      </c>
      <c r="K2932" s="5"/>
    </row>
    <row r="2933">
      <c r="A2933" s="3" t="s">
        <v>806</v>
      </c>
      <c r="B2933" s="3" t="s">
        <v>897</v>
      </c>
      <c r="C2933" s="3" t="s">
        <v>3140</v>
      </c>
      <c r="D2933" s="4" t="str">
        <f>HYPERLINK("https://12go.asia/en/travel/xinyang-east/yantai-south", "12Go Link")</f>
        <v>12Go Link</v>
      </c>
      <c r="E2933" s="3" t="s">
        <v>94</v>
      </c>
      <c r="K2933" s="5"/>
    </row>
    <row r="2934">
      <c r="A2934" s="3" t="s">
        <v>806</v>
      </c>
      <c r="B2934" s="3" t="s">
        <v>897</v>
      </c>
      <c r="C2934" s="3" t="s">
        <v>3141</v>
      </c>
      <c r="D2934" s="4" t="str">
        <f>HYPERLINK("https://12go.asia/en/travel/xinyang/yantai", "12Go Link")</f>
        <v>12Go Link</v>
      </c>
      <c r="E2934" s="3" t="s">
        <v>94</v>
      </c>
      <c r="K2934" s="5"/>
    </row>
    <row r="2935">
      <c r="A2935" s="3" t="s">
        <v>1977</v>
      </c>
      <c r="B2935" s="3" t="s">
        <v>593</v>
      </c>
      <c r="C2935" s="3" t="s">
        <v>3142</v>
      </c>
      <c r="D2935" s="4" t="str">
        <f>HYPERLINK("https://12go.asia/en/travel/xinyu/beijing", "12Go Link")</f>
        <v>12Go Link</v>
      </c>
      <c r="E2935" s="3" t="s">
        <v>94</v>
      </c>
      <c r="K2935" s="5"/>
    </row>
    <row r="2936">
      <c r="A2936" s="3" t="s">
        <v>1977</v>
      </c>
      <c r="B2936" s="3" t="s">
        <v>593</v>
      </c>
      <c r="C2936" s="3" t="s">
        <v>3143</v>
      </c>
      <c r="D2936" s="4" t="str">
        <f>HYPERLINK("https://12go.asia/en/travel/xinyu/beijing-west", "12Go Link")</f>
        <v>12Go Link</v>
      </c>
      <c r="E2936" s="3" t="s">
        <v>94</v>
      </c>
      <c r="K2936" s="5"/>
    </row>
    <row r="2937">
      <c r="A2937" s="3" t="s">
        <v>809</v>
      </c>
      <c r="B2937" s="3" t="s">
        <v>1467</v>
      </c>
      <c r="C2937" s="3" t="s">
        <v>3144</v>
      </c>
      <c r="D2937" s="4" t="str">
        <f>HYPERLINK("https://12go.asia/en/travel/xuchang-east/hongdao", "12Go Link")</f>
        <v>12Go Link</v>
      </c>
      <c r="E2937" s="3" t="s">
        <v>94</v>
      </c>
      <c r="K2937" s="5"/>
    </row>
    <row r="2938">
      <c r="A2938" s="3" t="s">
        <v>809</v>
      </c>
      <c r="B2938" s="3" t="s">
        <v>1467</v>
      </c>
      <c r="C2938" s="3" t="s">
        <v>3145</v>
      </c>
      <c r="D2938" s="4" t="str">
        <f>HYPERLINK("https://12go.asia/en/travel/xuchang-east/qingdao", "12Go Link")</f>
        <v>12Go Link</v>
      </c>
      <c r="E2938" s="3" t="s">
        <v>94</v>
      </c>
      <c r="K2938" s="5"/>
    </row>
    <row r="2939">
      <c r="A2939" s="3" t="s">
        <v>809</v>
      </c>
      <c r="B2939" s="3" t="s">
        <v>1467</v>
      </c>
      <c r="C2939" s="3" t="s">
        <v>3146</v>
      </c>
      <c r="D2939" s="4" t="str">
        <f>HYPERLINK("https://12go.asia/en/travel/xuchang/qingdao", "12Go Link")</f>
        <v>12Go Link</v>
      </c>
      <c r="E2939" s="3" t="s">
        <v>94</v>
      </c>
      <c r="K2939" s="5"/>
    </row>
    <row r="2940">
      <c r="A2940" s="3" t="s">
        <v>809</v>
      </c>
      <c r="B2940" s="3" t="s">
        <v>1467</v>
      </c>
      <c r="C2940" s="3" t="s">
        <v>3147</v>
      </c>
      <c r="D2940" s="4" t="str">
        <f>HYPERLINK("https://12go.asia/en/travel/xuchang/qingdao-north", "12Go Link")</f>
        <v>12Go Link</v>
      </c>
      <c r="E2940" s="3" t="s">
        <v>94</v>
      </c>
      <c r="K2940" s="5"/>
    </row>
    <row r="2941">
      <c r="A2941" s="3" t="s">
        <v>579</v>
      </c>
      <c r="B2941" s="3" t="s">
        <v>1021</v>
      </c>
      <c r="C2941" s="3" t="s">
        <v>3148</v>
      </c>
      <c r="D2941" s="4" t="str">
        <f>HYPERLINK("https://12go.asia/en/travel/xuzhou-east/ninghai", "12Go Link")</f>
        <v>12Go Link</v>
      </c>
      <c r="E2941" s="3" t="s">
        <v>94</v>
      </c>
      <c r="K2941" s="5"/>
    </row>
    <row r="2942">
      <c r="A2942" s="3" t="s">
        <v>579</v>
      </c>
      <c r="B2942" s="3" t="s">
        <v>1021</v>
      </c>
      <c r="C2942" s="3" t="s">
        <v>3149</v>
      </c>
      <c r="D2942" s="4" t="str">
        <f>HYPERLINK("https://12go.asia/en/travel/xuzhou/zhejiang", "12Go Link")</f>
        <v>12Go Link</v>
      </c>
      <c r="E2942" s="3" t="s">
        <v>94</v>
      </c>
      <c r="K2942" s="5"/>
    </row>
    <row r="2943">
      <c r="A2943" s="3" t="s">
        <v>895</v>
      </c>
      <c r="B2943" s="3" t="s">
        <v>1079</v>
      </c>
      <c r="C2943" s="3" t="s">
        <v>3150</v>
      </c>
      <c r="D2943" s="4" t="str">
        <f>HYPERLINK("https://12go.asia/en/travel/yancheng/xuancheng", "12Go Link")</f>
        <v>12Go Link</v>
      </c>
      <c r="E2943" s="3" t="s">
        <v>94</v>
      </c>
      <c r="K2943" s="5"/>
    </row>
    <row r="2944">
      <c r="A2944" s="3" t="s">
        <v>895</v>
      </c>
      <c r="B2944" s="3" t="s">
        <v>716</v>
      </c>
      <c r="C2944" s="3" t="s">
        <v>3151</v>
      </c>
      <c r="D2944" s="4" t="str">
        <f>HYPERLINK("https://12go.asia/en/travel/yancheng/xuanzhou", "12Go Link")</f>
        <v>12Go Link</v>
      </c>
      <c r="E2944" s="3" t="s">
        <v>94</v>
      </c>
      <c r="K2944" s="5"/>
    </row>
    <row r="2945">
      <c r="A2945" s="3" t="s">
        <v>3152</v>
      </c>
      <c r="B2945" s="3" t="s">
        <v>740</v>
      </c>
      <c r="C2945" s="3" t="s">
        <v>3153</v>
      </c>
      <c r="D2945" s="4" t="str">
        <f>HYPERLINK("https://12go.asia/en/travel/yanji-west/changchun", "12Go Link")</f>
        <v>12Go Link</v>
      </c>
      <c r="E2945" s="3" t="s">
        <v>94</v>
      </c>
      <c r="K2945" s="5"/>
    </row>
    <row r="2946">
      <c r="A2946" s="3" t="s">
        <v>3152</v>
      </c>
      <c r="B2946" s="3" t="s">
        <v>740</v>
      </c>
      <c r="C2946" s="3" t="s">
        <v>3154</v>
      </c>
      <c r="D2946" s="4" t="str">
        <f>HYPERLINK("https://12go.asia/en/travel/yanji-west/changchun-west", "12Go Link")</f>
        <v>12Go Link</v>
      </c>
      <c r="E2946" s="3" t="s">
        <v>94</v>
      </c>
      <c r="K2946" s="5"/>
    </row>
    <row r="2947">
      <c r="A2947" s="3" t="s">
        <v>897</v>
      </c>
      <c r="B2947" s="3" t="s">
        <v>593</v>
      </c>
      <c r="C2947" s="3" t="s">
        <v>3155</v>
      </c>
      <c r="D2947" s="4" t="str">
        <f>HYPERLINK("https://12go.asia/en/travel/yantai/beijing-fengtai", "12Go Link")</f>
        <v>12Go Link</v>
      </c>
      <c r="E2947" s="3" t="s">
        <v>94</v>
      </c>
      <c r="K2947" s="5"/>
    </row>
    <row r="2948">
      <c r="A2948" s="3" t="s">
        <v>897</v>
      </c>
      <c r="B2948" s="3" t="s">
        <v>751</v>
      </c>
      <c r="C2948" s="3" t="s">
        <v>3156</v>
      </c>
      <c r="D2948" s="4" t="str">
        <f>HYPERLINK("https://12go.asia/en/travel/yantai-south/handan-east", "12Go Link")</f>
        <v>12Go Link</v>
      </c>
      <c r="E2948" s="3" t="s">
        <v>94</v>
      </c>
      <c r="K2948" s="5"/>
    </row>
    <row r="2949">
      <c r="A2949" s="3" t="s">
        <v>897</v>
      </c>
      <c r="B2949" s="3" t="s">
        <v>751</v>
      </c>
      <c r="C2949" s="3" t="s">
        <v>3157</v>
      </c>
      <c r="D2949" s="4" t="str">
        <f>HYPERLINK("https://12go.asia/en/travel/yantai/handan", "12Go Link")</f>
        <v>12Go Link</v>
      </c>
      <c r="E2949" s="3" t="s">
        <v>94</v>
      </c>
      <c r="K2949" s="5"/>
    </row>
    <row r="2950">
      <c r="A2950" s="3" t="s">
        <v>897</v>
      </c>
      <c r="B2950" s="3" t="s">
        <v>751</v>
      </c>
      <c r="C2950" s="3" t="s">
        <v>3158</v>
      </c>
      <c r="D2950" s="4" t="str">
        <f>HYPERLINK("https://12go.asia/en/travel/yantai/handan-east", "12Go Link")</f>
        <v>12Go Link</v>
      </c>
      <c r="E2950" s="3" t="s">
        <v>94</v>
      </c>
      <c r="K2950" s="5"/>
    </row>
    <row r="2951">
      <c r="A2951" s="3" t="s">
        <v>897</v>
      </c>
      <c r="B2951" s="3" t="s">
        <v>1240</v>
      </c>
      <c r="C2951" s="3" t="s">
        <v>3159</v>
      </c>
      <c r="D2951" s="4" t="str">
        <f>HYPERLINK("https://12go.asia/en/travel/yantai-south/daminghu", "12Go Link")</f>
        <v>12Go Link</v>
      </c>
      <c r="E2951" s="3" t="s">
        <v>94</v>
      </c>
      <c r="K2951" s="5"/>
    </row>
    <row r="2952">
      <c r="A2952" s="3" t="s">
        <v>897</v>
      </c>
      <c r="B2952" s="3" t="s">
        <v>2416</v>
      </c>
      <c r="C2952" s="3" t="s">
        <v>3160</v>
      </c>
      <c r="D2952" s="4" t="str">
        <f>HYPERLINK("https://12go.asia/en/travel/yantai/pingxiang", "12Go Link")</f>
        <v>12Go Link</v>
      </c>
      <c r="E2952" s="3" t="s">
        <v>94</v>
      </c>
      <c r="K2952" s="5"/>
    </row>
    <row r="2953">
      <c r="A2953" s="3" t="s">
        <v>816</v>
      </c>
      <c r="B2953" s="3" t="s">
        <v>1021</v>
      </c>
      <c r="C2953" s="3" t="s">
        <v>3161</v>
      </c>
      <c r="D2953" s="4" t="str">
        <f>HYPERLINK("https://12go.asia/en/travel/yiwu/ruian", "12Go Link")</f>
        <v>12Go Link</v>
      </c>
      <c r="E2953" s="3" t="s">
        <v>94</v>
      </c>
      <c r="K2953" s="5"/>
    </row>
    <row r="2954">
      <c r="A2954" s="3" t="s">
        <v>3162</v>
      </c>
      <c r="B2954" s="3" t="s">
        <v>1395</v>
      </c>
      <c r="C2954" s="3" t="s">
        <v>3163</v>
      </c>
      <c r="D2954" s="4" t="str">
        <f>HYPERLINK("https://12go.asia/en/travel/yueqing/shenzhen", "12Go Link")</f>
        <v>12Go Link</v>
      </c>
      <c r="E2954" s="3" t="s">
        <v>94</v>
      </c>
      <c r="K2954" s="5"/>
    </row>
    <row r="2955">
      <c r="A2955" s="3" t="s">
        <v>1540</v>
      </c>
      <c r="B2955" s="3" t="s">
        <v>975</v>
      </c>
      <c r="C2955" s="3" t="s">
        <v>3164</v>
      </c>
      <c r="D2955" s="4" t="str">
        <f>HYPERLINK("https://12go.asia/en/travel/yunnan/leshan", "12Go Link")</f>
        <v>12Go Link</v>
      </c>
      <c r="E2955" s="3" t="s">
        <v>94</v>
      </c>
      <c r="K2955" s="5"/>
    </row>
    <row r="2956">
      <c r="A2956" s="3" t="s">
        <v>1326</v>
      </c>
      <c r="B2956" s="3" t="s">
        <v>905</v>
      </c>
      <c r="C2956" s="3" t="s">
        <v>3165</v>
      </c>
      <c r="D2956" s="4" t="str">
        <f>HYPERLINK("https://12go.asia/en/travel/zhangjiajie-west/laifeng", "12Go Link")</f>
        <v>12Go Link</v>
      </c>
      <c r="E2956" s="3" t="s">
        <v>94</v>
      </c>
      <c r="K2956" s="5"/>
    </row>
    <row r="2957">
      <c r="A2957" s="3" t="s">
        <v>1326</v>
      </c>
      <c r="B2957" s="3" t="s">
        <v>905</v>
      </c>
      <c r="C2957" s="3" t="s">
        <v>3166</v>
      </c>
      <c r="D2957" s="4" t="str">
        <f>HYPERLINK("https://12go.asia/en/travel/zhangjiajie/enshi", "12Go Link")</f>
        <v>12Go Link</v>
      </c>
      <c r="E2957" s="3" t="s">
        <v>94</v>
      </c>
      <c r="K2957" s="5"/>
    </row>
    <row r="2958">
      <c r="A2958" s="3" t="s">
        <v>1326</v>
      </c>
      <c r="B2958" s="3" t="s">
        <v>1574</v>
      </c>
      <c r="C2958" s="3" t="s">
        <v>3167</v>
      </c>
      <c r="D2958" s="4" t="str">
        <f>HYPERLINK("https://12go.asia/en/travel/zhangjiajie-west/fenghuanggucheng", "12Go Link")</f>
        <v>12Go Link</v>
      </c>
      <c r="E2958" s="3" t="s">
        <v>94</v>
      </c>
      <c r="K2958" s="5"/>
    </row>
    <row r="2959">
      <c r="A2959" s="3" t="s">
        <v>1326</v>
      </c>
      <c r="B2959" s="3" t="s">
        <v>1574</v>
      </c>
      <c r="C2959" s="3" t="s">
        <v>3168</v>
      </c>
      <c r="D2959" s="4" t="str">
        <f>HYPERLINK("https://12go.asia/en/travel/zhangjiajie/fenghuang", "12Go Link")</f>
        <v>12Go Link</v>
      </c>
      <c r="E2959" s="3" t="s">
        <v>94</v>
      </c>
      <c r="K2959" s="5"/>
    </row>
    <row r="2960">
      <c r="A2960" s="3" t="s">
        <v>3169</v>
      </c>
      <c r="B2960" s="3" t="s">
        <v>745</v>
      </c>
      <c r="C2960" s="3" t="s">
        <v>3170</v>
      </c>
      <c r="D2960" s="4" t="str">
        <f>HYPERLINK("https://12go.asia/en/travel/zhaoqing/changsha", "12Go Link")</f>
        <v>12Go Link</v>
      </c>
      <c r="E2960" s="3" t="s">
        <v>94</v>
      </c>
      <c r="K2960" s="5"/>
    </row>
    <row r="2961">
      <c r="A2961" s="3" t="s">
        <v>3169</v>
      </c>
      <c r="B2961" s="3" t="s">
        <v>1529</v>
      </c>
      <c r="C2961" s="3" t="s">
        <v>3171</v>
      </c>
      <c r="D2961" s="4" t="str">
        <f>HYPERLINK("https://12go.asia/en/travel/zhaoqing/kunming", "12Go Link")</f>
        <v>12Go Link</v>
      </c>
      <c r="E2961" s="3" t="s">
        <v>94</v>
      </c>
      <c r="K2961" s="5"/>
    </row>
    <row r="2962">
      <c r="A2962" s="3" t="s">
        <v>3169</v>
      </c>
      <c r="B2962" s="3" t="s">
        <v>674</v>
      </c>
      <c r="C2962" s="3" t="s">
        <v>3172</v>
      </c>
      <c r="D2962" s="4" t="str">
        <f>HYPERLINK("https://12go.asia/en/travel/zhaoqing-east/maoming", "12Go Link")</f>
        <v>12Go Link</v>
      </c>
      <c r="E2962" s="3" t="s">
        <v>94</v>
      </c>
      <c r="K2962" s="5"/>
    </row>
    <row r="2963">
      <c r="A2963" s="3" t="s">
        <v>3169</v>
      </c>
      <c r="B2963" s="3" t="s">
        <v>1534</v>
      </c>
      <c r="C2963" s="3" t="s">
        <v>3173</v>
      </c>
      <c r="D2963" s="4" t="str">
        <f>HYPERLINK("https://12go.asia/en/travel/zhaoqing/nanning", "12Go Link")</f>
        <v>12Go Link</v>
      </c>
      <c r="E2963" s="3" t="s">
        <v>94</v>
      </c>
      <c r="K2963" s="5"/>
    </row>
    <row r="2964">
      <c r="A2964" s="3" t="s">
        <v>1021</v>
      </c>
      <c r="B2964" s="3" t="s">
        <v>755</v>
      </c>
      <c r="C2964" s="3" t="s">
        <v>3174</v>
      </c>
      <c r="D2964" s="4" t="str">
        <f>HYPERLINK("https://12go.asia/en/travel/yongkang-south/hangzhou", "12Go Link")</f>
        <v>12Go Link</v>
      </c>
      <c r="E2964" s="3" t="s">
        <v>94</v>
      </c>
      <c r="K2964" s="5"/>
    </row>
    <row r="2965">
      <c r="A2965" s="3" t="s">
        <v>1021</v>
      </c>
      <c r="B2965" s="3" t="s">
        <v>755</v>
      </c>
      <c r="C2965" s="3" t="s">
        <v>3175</v>
      </c>
      <c r="D2965" s="4" t="str">
        <f>HYPERLINK("https://12go.asia/en/travel/yongkang-south/hangzhou-east", "12Go Link")</f>
        <v>12Go Link</v>
      </c>
      <c r="E2965" s="3" t="s">
        <v>94</v>
      </c>
      <c r="K2965" s="5"/>
    </row>
    <row r="2966">
      <c r="A2966" s="3" t="s">
        <v>1021</v>
      </c>
      <c r="B2966" s="3" t="s">
        <v>755</v>
      </c>
      <c r="C2966" s="3" t="s">
        <v>3176</v>
      </c>
      <c r="D2966" s="4" t="str">
        <f>HYPERLINK("https://12go.asia/en/travel/yongkang-south/hangzhou-south", "12Go Link")</f>
        <v>12Go Link</v>
      </c>
      <c r="E2966" s="3" t="s">
        <v>94</v>
      </c>
      <c r="K2966" s="5"/>
    </row>
    <row r="2967">
      <c r="A2967" s="3" t="s">
        <v>1021</v>
      </c>
      <c r="B2967" s="3" t="s">
        <v>769</v>
      </c>
      <c r="C2967" s="3" t="s">
        <v>3177</v>
      </c>
      <c r="D2967" s="4" t="str">
        <f>HYPERLINK("https://12go.asia/en/travel/fuyang-zhejiang/nanjing-south", "12Go Link")</f>
        <v>12Go Link</v>
      </c>
      <c r="E2967" s="3" t="s">
        <v>94</v>
      </c>
      <c r="K2967" s="5"/>
    </row>
    <row r="2968">
      <c r="A2968" s="3" t="s">
        <v>1021</v>
      </c>
      <c r="B2968" s="3" t="s">
        <v>512</v>
      </c>
      <c r="C2968" s="3" t="s">
        <v>3178</v>
      </c>
      <c r="D2968" s="4" t="str">
        <f>HYPERLINK("https://12go.asia/en/travel/jiashan/shanghai-south", "12Go Link")</f>
        <v>12Go Link</v>
      </c>
      <c r="E2968" s="3" t="s">
        <v>94</v>
      </c>
      <c r="K2968" s="5"/>
    </row>
    <row r="2969">
      <c r="A2969" s="3" t="s">
        <v>1021</v>
      </c>
      <c r="B2969" s="3" t="s">
        <v>512</v>
      </c>
      <c r="C2969" s="3" t="s">
        <v>3179</v>
      </c>
      <c r="D2969" s="4" t="str">
        <f>HYPERLINK("https://12go.asia/en/travel/jiashan/shanghai-west", "12Go Link")</f>
        <v>12Go Link</v>
      </c>
      <c r="E2969" s="3" t="s">
        <v>94</v>
      </c>
      <c r="K2969" s="5"/>
    </row>
    <row r="2970">
      <c r="A2970" s="3" t="s">
        <v>1021</v>
      </c>
      <c r="B2970" s="3" t="s">
        <v>585</v>
      </c>
      <c r="C2970" s="3" t="s">
        <v>3180</v>
      </c>
      <c r="D2970" s="4" t="str">
        <f>HYPERLINK("https://12go.asia/en/travel/lishui-zhejiang/zhengzhou", "12Go Link")</f>
        <v>12Go Link</v>
      </c>
      <c r="E2970" s="3" t="s">
        <v>94</v>
      </c>
      <c r="K2970" s="5"/>
    </row>
    <row r="2971">
      <c r="A2971" s="3" t="s">
        <v>1021</v>
      </c>
      <c r="B2971" s="3" t="s">
        <v>585</v>
      </c>
      <c r="C2971" s="3" t="s">
        <v>3181</v>
      </c>
      <c r="D2971" s="4" t="str">
        <f>HYPERLINK("https://12go.asia/en/travel/lishui-zhejiang/zhengzhou-east", "12Go Link")</f>
        <v>12Go Link</v>
      </c>
      <c r="E2971" s="3" t="s">
        <v>94</v>
      </c>
      <c r="K2971" s="5"/>
    </row>
    <row r="2972">
      <c r="A2972" s="3" t="s">
        <v>585</v>
      </c>
      <c r="B2972" s="3" t="s">
        <v>905</v>
      </c>
      <c r="C2972" s="3" t="s">
        <v>3182</v>
      </c>
      <c r="D2972" s="4" t="str">
        <f>HYPERLINK("https://12go.asia/en/travel/zhengzhou-east/fengjie", "12Go Link")</f>
        <v>12Go Link</v>
      </c>
      <c r="E2972" s="3" t="s">
        <v>94</v>
      </c>
      <c r="K2972" s="5"/>
    </row>
    <row r="2973">
      <c r="A2973" s="3" t="s">
        <v>585</v>
      </c>
      <c r="B2973" s="3" t="s">
        <v>905</v>
      </c>
      <c r="C2973" s="3" t="s">
        <v>3183</v>
      </c>
      <c r="D2973" s="4" t="str">
        <f>HYPERLINK("https://12go.asia/en/travel/zhengzhou/enshi", "12Go Link")</f>
        <v>12Go Link</v>
      </c>
      <c r="E2973" s="3" t="s">
        <v>94</v>
      </c>
      <c r="K2973" s="5"/>
    </row>
    <row r="2974">
      <c r="A2974" s="3" t="s">
        <v>585</v>
      </c>
      <c r="B2974" s="3" t="s">
        <v>755</v>
      </c>
      <c r="C2974" s="3" t="s">
        <v>3184</v>
      </c>
      <c r="D2974" s="4" t="str">
        <f>HYPERLINK("https://12go.asia/en/travel/zhengzhou-east/hangzhou-west", "12Go Link")</f>
        <v>12Go Link</v>
      </c>
      <c r="E2974" s="3" t="s">
        <v>94</v>
      </c>
      <c r="K2974" s="5"/>
    </row>
    <row r="2975">
      <c r="A2975" s="3" t="s">
        <v>585</v>
      </c>
      <c r="B2975" s="3" t="s">
        <v>755</v>
      </c>
      <c r="C2975" s="3" t="s">
        <v>3185</v>
      </c>
      <c r="D2975" s="4" t="str">
        <f>HYPERLINK("https://12go.asia/en/travel/zhengzhou/hangzhou-west", "12Go Link")</f>
        <v>12Go Link</v>
      </c>
      <c r="E2975" s="3" t="s">
        <v>94</v>
      </c>
      <c r="K2975" s="5"/>
    </row>
    <row r="2976">
      <c r="A2976" s="3" t="s">
        <v>585</v>
      </c>
      <c r="B2976" s="3" t="s">
        <v>1033</v>
      </c>
      <c r="C2976" s="3" t="s">
        <v>3186</v>
      </c>
      <c r="D2976" s="4" t="str">
        <f>HYPERLINK("https://12go.asia/en/travel/zhengzhou-east/hebi-east", "12Go Link")</f>
        <v>12Go Link</v>
      </c>
      <c r="E2976" s="3" t="s">
        <v>94</v>
      </c>
      <c r="K2976" s="5"/>
    </row>
    <row r="2977">
      <c r="A2977" s="3" t="s">
        <v>585</v>
      </c>
      <c r="B2977" s="3" t="s">
        <v>801</v>
      </c>
      <c r="C2977" s="3" t="s">
        <v>3187</v>
      </c>
      <c r="D2977" s="4" t="str">
        <f>HYPERLINK("https://12go.asia/en/travel/zhengzhou-east/xian-west", "12Go Link")</f>
        <v>12Go Link</v>
      </c>
      <c r="E2977" s="3" t="s">
        <v>94</v>
      </c>
      <c r="K2977" s="5"/>
    </row>
    <row r="2978">
      <c r="A2978" s="3" t="s">
        <v>3188</v>
      </c>
      <c r="B2978" s="3" t="s">
        <v>515</v>
      </c>
      <c r="C2978" s="3" t="s">
        <v>3189</v>
      </c>
      <c r="D2978" s="4" t="str">
        <f>HYPERLINK("https://12go.asia/en/travel/zhoukou/anyang", "12Go Link")</f>
        <v>12Go Link</v>
      </c>
      <c r="E2978" s="3" t="s">
        <v>94</v>
      </c>
      <c r="K2978" s="5"/>
    </row>
    <row r="2979">
      <c r="A2979" s="3" t="s">
        <v>1542</v>
      </c>
      <c r="B2979" s="3" t="s">
        <v>694</v>
      </c>
      <c r="C2979" s="3" t="s">
        <v>3190</v>
      </c>
      <c r="D2979" s="4" t="str">
        <f>HYPERLINK("https://12go.asia/en/travel/zhuhai/shaoguan", "12Go Link")</f>
        <v>12Go Link</v>
      </c>
      <c r="E2979" s="3" t="s">
        <v>94</v>
      </c>
      <c r="K2979" s="5"/>
    </row>
    <row r="2980">
      <c r="A2980" s="3" t="s">
        <v>3191</v>
      </c>
      <c r="B2980" s="3" t="s">
        <v>3192</v>
      </c>
      <c r="C2980" s="3" t="s">
        <v>3193</v>
      </c>
      <c r="D2980" s="4" t="str">
        <f t="shared" ref="D2980:D2983" si="67">HYPERLINK("https://12go.asia/en/travel/Ain-Sokhna-Hotel-Transfer/Cairo-Hotel-Transfer", "12Go Link")</f>
        <v>12Go Link</v>
      </c>
      <c r="E2980" s="3" t="s">
        <v>3194</v>
      </c>
      <c r="K2980" s="5"/>
    </row>
    <row r="2981">
      <c r="A2981" s="3" t="s">
        <v>3191</v>
      </c>
      <c r="B2981" s="3" t="s">
        <v>3192</v>
      </c>
      <c r="C2981" s="3" t="s">
        <v>3193</v>
      </c>
      <c r="D2981" s="4" t="str">
        <f t="shared" si="67"/>
        <v>12Go Link</v>
      </c>
      <c r="E2981" s="3" t="s">
        <v>3195</v>
      </c>
      <c r="K2981" s="5"/>
    </row>
    <row r="2982">
      <c r="A2982" s="3" t="s">
        <v>3191</v>
      </c>
      <c r="B2982" s="3" t="s">
        <v>3192</v>
      </c>
      <c r="C2982" s="3" t="s">
        <v>3193</v>
      </c>
      <c r="D2982" s="4" t="str">
        <f t="shared" si="67"/>
        <v>12Go Link</v>
      </c>
      <c r="E2982" s="3" t="s">
        <v>3196</v>
      </c>
      <c r="K2982" s="5"/>
    </row>
    <row r="2983">
      <c r="A2983" s="3" t="s">
        <v>3191</v>
      </c>
      <c r="B2983" s="3" t="s">
        <v>3192</v>
      </c>
      <c r="C2983" s="3" t="s">
        <v>3193</v>
      </c>
      <c r="D2983" s="4" t="str">
        <f t="shared" si="67"/>
        <v>12Go Link</v>
      </c>
      <c r="E2983" s="3" t="s">
        <v>3197</v>
      </c>
      <c r="K2983" s="5"/>
    </row>
    <row r="2984">
      <c r="A2984" s="3" t="s">
        <v>3191</v>
      </c>
      <c r="B2984" s="3" t="s">
        <v>3192</v>
      </c>
      <c r="C2984" s="3" t="s">
        <v>3198</v>
      </c>
      <c r="D2984" s="4" t="str">
        <f t="shared" ref="D2984:D2987" si="68">HYPERLINK("https://12go.asia/en/travel/Ain-Sokhna-Hotel-Transfer/Cairo-International-Airport", "12Go Link")</f>
        <v>12Go Link</v>
      </c>
      <c r="E2984" s="3" t="s">
        <v>3194</v>
      </c>
      <c r="K2984" s="5"/>
    </row>
    <row r="2985">
      <c r="A2985" s="3" t="s">
        <v>3191</v>
      </c>
      <c r="B2985" s="3" t="s">
        <v>3192</v>
      </c>
      <c r="C2985" s="3" t="s">
        <v>3198</v>
      </c>
      <c r="D2985" s="4" t="str">
        <f t="shared" si="68"/>
        <v>12Go Link</v>
      </c>
      <c r="E2985" s="3" t="s">
        <v>3195</v>
      </c>
      <c r="K2985" s="5"/>
    </row>
    <row r="2986">
      <c r="A2986" s="3" t="s">
        <v>3191</v>
      </c>
      <c r="B2986" s="3" t="s">
        <v>3192</v>
      </c>
      <c r="C2986" s="3" t="s">
        <v>3198</v>
      </c>
      <c r="D2986" s="4" t="str">
        <f t="shared" si="68"/>
        <v>12Go Link</v>
      </c>
      <c r="E2986" s="3" t="s">
        <v>3196</v>
      </c>
      <c r="K2986" s="5"/>
    </row>
    <row r="2987">
      <c r="A2987" s="3" t="s">
        <v>3191</v>
      </c>
      <c r="B2987" s="3" t="s">
        <v>3192</v>
      </c>
      <c r="C2987" s="3" t="s">
        <v>3198</v>
      </c>
      <c r="D2987" s="4" t="str">
        <f t="shared" si="68"/>
        <v>12Go Link</v>
      </c>
      <c r="E2987" s="3" t="s">
        <v>3197</v>
      </c>
      <c r="K2987" s="5"/>
    </row>
    <row r="2988">
      <c r="A2988" s="3" t="s">
        <v>3191</v>
      </c>
      <c r="B2988" s="3" t="s">
        <v>3192</v>
      </c>
      <c r="C2988" s="3" t="s">
        <v>3199</v>
      </c>
      <c r="D2988" s="4" t="str">
        <f t="shared" ref="D2988:D2991" si="69">HYPERLINK("https://12go.asia/en/travel/Ain-Sokhna-Port/Cairo-Hotel-Transfer", "12Go Link")</f>
        <v>12Go Link</v>
      </c>
      <c r="E2988" s="3" t="s">
        <v>3194</v>
      </c>
      <c r="K2988" s="5"/>
    </row>
    <row r="2989">
      <c r="A2989" s="3" t="s">
        <v>3191</v>
      </c>
      <c r="B2989" s="3" t="s">
        <v>3192</v>
      </c>
      <c r="C2989" s="3" t="s">
        <v>3199</v>
      </c>
      <c r="D2989" s="4" t="str">
        <f t="shared" si="69"/>
        <v>12Go Link</v>
      </c>
      <c r="E2989" s="3" t="s">
        <v>3195</v>
      </c>
      <c r="K2989" s="5"/>
    </row>
    <row r="2990">
      <c r="A2990" s="3" t="s">
        <v>3191</v>
      </c>
      <c r="B2990" s="3" t="s">
        <v>3192</v>
      </c>
      <c r="C2990" s="3" t="s">
        <v>3199</v>
      </c>
      <c r="D2990" s="4" t="str">
        <f t="shared" si="69"/>
        <v>12Go Link</v>
      </c>
      <c r="E2990" s="3" t="s">
        <v>3196</v>
      </c>
      <c r="K2990" s="5"/>
    </row>
    <row r="2991">
      <c r="A2991" s="3" t="s">
        <v>3191</v>
      </c>
      <c r="B2991" s="3" t="s">
        <v>3192</v>
      </c>
      <c r="C2991" s="3" t="s">
        <v>3199</v>
      </c>
      <c r="D2991" s="4" t="str">
        <f t="shared" si="69"/>
        <v>12Go Link</v>
      </c>
      <c r="E2991" s="3" t="s">
        <v>3197</v>
      </c>
      <c r="K2991" s="5"/>
    </row>
    <row r="2992">
      <c r="A2992" s="3" t="s">
        <v>3191</v>
      </c>
      <c r="B2992" s="3" t="s">
        <v>3192</v>
      </c>
      <c r="C2992" s="3" t="s">
        <v>3200</v>
      </c>
      <c r="D2992" s="4" t="str">
        <f t="shared" ref="D2992:D2995" si="70">HYPERLINK("https://12go.asia/en/travel/Ain-Sokhna-Port/Cairo-International-Airport", "12Go Link")</f>
        <v>12Go Link</v>
      </c>
      <c r="E2992" s="3" t="s">
        <v>3194</v>
      </c>
      <c r="K2992" s="5"/>
    </row>
    <row r="2993">
      <c r="A2993" s="3" t="s">
        <v>3191</v>
      </c>
      <c r="B2993" s="3" t="s">
        <v>3192</v>
      </c>
      <c r="C2993" s="3" t="s">
        <v>3200</v>
      </c>
      <c r="D2993" s="4" t="str">
        <f t="shared" si="70"/>
        <v>12Go Link</v>
      </c>
      <c r="E2993" s="3" t="s">
        <v>3195</v>
      </c>
      <c r="K2993" s="5"/>
    </row>
    <row r="2994">
      <c r="A2994" s="3" t="s">
        <v>3191</v>
      </c>
      <c r="B2994" s="3" t="s">
        <v>3192</v>
      </c>
      <c r="C2994" s="3" t="s">
        <v>3200</v>
      </c>
      <c r="D2994" s="4" t="str">
        <f t="shared" si="70"/>
        <v>12Go Link</v>
      </c>
      <c r="E2994" s="3" t="s">
        <v>3196</v>
      </c>
      <c r="K2994" s="5"/>
    </row>
    <row r="2995">
      <c r="A2995" s="3" t="s">
        <v>3191</v>
      </c>
      <c r="B2995" s="3" t="s">
        <v>3192</v>
      </c>
      <c r="C2995" s="3" t="s">
        <v>3200</v>
      </c>
      <c r="D2995" s="4" t="str">
        <f t="shared" si="70"/>
        <v>12Go Link</v>
      </c>
      <c r="E2995" s="3" t="s">
        <v>3197</v>
      </c>
      <c r="K2995" s="5"/>
    </row>
    <row r="2996">
      <c r="A2996" s="3" t="s">
        <v>3201</v>
      </c>
      <c r="B2996" s="3" t="s">
        <v>3192</v>
      </c>
      <c r="C2996" s="3" t="s">
        <v>3202</v>
      </c>
      <c r="D2996" s="4" t="str">
        <f t="shared" ref="D2996:D3001" si="71">HYPERLINK("https://12go.asia/en/travel/Alexandria-Hotel-Transfer/Cairo-Hotel-Transfer", "12Go Link")</f>
        <v>12Go Link</v>
      </c>
      <c r="E2996" s="3" t="s">
        <v>3194</v>
      </c>
      <c r="K2996" s="5"/>
    </row>
    <row r="2997">
      <c r="A2997" s="3" t="s">
        <v>3201</v>
      </c>
      <c r="B2997" s="3" t="s">
        <v>3192</v>
      </c>
      <c r="C2997" s="3" t="s">
        <v>3202</v>
      </c>
      <c r="D2997" s="4" t="str">
        <f t="shared" si="71"/>
        <v>12Go Link</v>
      </c>
      <c r="E2997" s="3" t="s">
        <v>3195</v>
      </c>
      <c r="K2997" s="5"/>
    </row>
    <row r="2998">
      <c r="A2998" s="3" t="s">
        <v>3201</v>
      </c>
      <c r="B2998" s="3" t="s">
        <v>3192</v>
      </c>
      <c r="C2998" s="3" t="s">
        <v>3202</v>
      </c>
      <c r="D2998" s="4" t="str">
        <f t="shared" si="71"/>
        <v>12Go Link</v>
      </c>
      <c r="E2998" s="3" t="s">
        <v>3196</v>
      </c>
      <c r="K2998" s="5"/>
    </row>
    <row r="2999">
      <c r="A2999" s="3" t="s">
        <v>3201</v>
      </c>
      <c r="B2999" s="3" t="s">
        <v>3192</v>
      </c>
      <c r="C2999" s="3" t="s">
        <v>3202</v>
      </c>
      <c r="D2999" s="4" t="str">
        <f t="shared" si="71"/>
        <v>12Go Link</v>
      </c>
      <c r="E2999" s="3" t="s">
        <v>3203</v>
      </c>
      <c r="K2999" s="5"/>
    </row>
    <row r="3000">
      <c r="A3000" s="3" t="s">
        <v>3201</v>
      </c>
      <c r="B3000" s="3" t="s">
        <v>3192</v>
      </c>
      <c r="C3000" s="3" t="s">
        <v>3202</v>
      </c>
      <c r="D3000" s="4" t="str">
        <f t="shared" si="71"/>
        <v>12Go Link</v>
      </c>
      <c r="E3000" s="3" t="s">
        <v>228</v>
      </c>
      <c r="K3000" s="5"/>
    </row>
    <row r="3001">
      <c r="A3001" s="3" t="s">
        <v>3201</v>
      </c>
      <c r="B3001" s="3" t="s">
        <v>3192</v>
      </c>
      <c r="C3001" s="3" t="s">
        <v>3202</v>
      </c>
      <c r="D3001" s="4" t="str">
        <f t="shared" si="71"/>
        <v>12Go Link</v>
      </c>
      <c r="E3001" s="3" t="s">
        <v>3197</v>
      </c>
      <c r="K3001" s="5"/>
    </row>
    <row r="3002">
      <c r="A3002" s="3" t="s">
        <v>3201</v>
      </c>
      <c r="B3002" s="3" t="s">
        <v>3192</v>
      </c>
      <c r="C3002" s="3" t="s">
        <v>3204</v>
      </c>
      <c r="D3002" s="4" t="str">
        <f t="shared" ref="D3002:D3005" si="72">HYPERLINK("https://12go.asia/en/travel/Alexandria-Hotel-Transfer/Cairo-International-Airport", "12Go Link")</f>
        <v>12Go Link</v>
      </c>
      <c r="E3002" s="3" t="s">
        <v>3194</v>
      </c>
      <c r="K3002" s="5"/>
    </row>
    <row r="3003">
      <c r="A3003" s="3" t="s">
        <v>3201</v>
      </c>
      <c r="B3003" s="3" t="s">
        <v>3192</v>
      </c>
      <c r="C3003" s="3" t="s">
        <v>3204</v>
      </c>
      <c r="D3003" s="4" t="str">
        <f t="shared" si="72"/>
        <v>12Go Link</v>
      </c>
      <c r="E3003" s="3" t="s">
        <v>3195</v>
      </c>
      <c r="K3003" s="5"/>
    </row>
    <row r="3004">
      <c r="A3004" s="3" t="s">
        <v>3201</v>
      </c>
      <c r="B3004" s="3" t="s">
        <v>3192</v>
      </c>
      <c r="C3004" s="3" t="s">
        <v>3204</v>
      </c>
      <c r="D3004" s="4" t="str">
        <f t="shared" si="72"/>
        <v>12Go Link</v>
      </c>
      <c r="E3004" s="3" t="s">
        <v>3196</v>
      </c>
      <c r="K3004" s="5"/>
    </row>
    <row r="3005">
      <c r="A3005" s="3" t="s">
        <v>3201</v>
      </c>
      <c r="B3005" s="3" t="s">
        <v>3192</v>
      </c>
      <c r="C3005" s="3" t="s">
        <v>3204</v>
      </c>
      <c r="D3005" s="4" t="str">
        <f t="shared" si="72"/>
        <v>12Go Link</v>
      </c>
      <c r="E3005" s="3" t="s">
        <v>3197</v>
      </c>
      <c r="K3005" s="5"/>
    </row>
    <row r="3006">
      <c r="A3006" s="3" t="s">
        <v>3201</v>
      </c>
      <c r="B3006" s="3" t="s">
        <v>3192</v>
      </c>
      <c r="C3006" s="3" t="s">
        <v>3205</v>
      </c>
      <c r="D3006" s="4" t="str">
        <f t="shared" ref="D3006:D3009" si="73">HYPERLINK("https://12go.asia/en/travel/Alexandria-Port/Cairo-Hotel-Transfer", "12Go Link")</f>
        <v>12Go Link</v>
      </c>
      <c r="E3006" s="3" t="s">
        <v>3194</v>
      </c>
      <c r="K3006" s="5"/>
    </row>
    <row r="3007">
      <c r="A3007" s="3" t="s">
        <v>3201</v>
      </c>
      <c r="B3007" s="3" t="s">
        <v>3192</v>
      </c>
      <c r="C3007" s="3" t="s">
        <v>3205</v>
      </c>
      <c r="D3007" s="4" t="str">
        <f t="shared" si="73"/>
        <v>12Go Link</v>
      </c>
      <c r="E3007" s="3" t="s">
        <v>3195</v>
      </c>
      <c r="K3007" s="5"/>
    </row>
    <row r="3008">
      <c r="A3008" s="3" t="s">
        <v>3201</v>
      </c>
      <c r="B3008" s="3" t="s">
        <v>3192</v>
      </c>
      <c r="C3008" s="3" t="s">
        <v>3205</v>
      </c>
      <c r="D3008" s="4" t="str">
        <f t="shared" si="73"/>
        <v>12Go Link</v>
      </c>
      <c r="E3008" s="3" t="s">
        <v>3196</v>
      </c>
      <c r="K3008" s="5"/>
    </row>
    <row r="3009">
      <c r="A3009" s="3" t="s">
        <v>3201</v>
      </c>
      <c r="B3009" s="3" t="s">
        <v>3192</v>
      </c>
      <c r="C3009" s="3" t="s">
        <v>3205</v>
      </c>
      <c r="D3009" s="4" t="str">
        <f t="shared" si="73"/>
        <v>12Go Link</v>
      </c>
      <c r="E3009" s="3" t="s">
        <v>3197</v>
      </c>
      <c r="K3009" s="5"/>
    </row>
    <row r="3010">
      <c r="A3010" s="3" t="s">
        <v>3201</v>
      </c>
      <c r="B3010" s="3" t="s">
        <v>3192</v>
      </c>
      <c r="C3010" s="3" t="s">
        <v>3206</v>
      </c>
      <c r="D3010" s="4" t="str">
        <f t="shared" ref="D3010:D3013" si="74">HYPERLINK("https://12go.asia/en/travel/Alexandria-Port/Cairo-International-Airport", "12Go Link")</f>
        <v>12Go Link</v>
      </c>
      <c r="E3010" s="3" t="s">
        <v>3194</v>
      </c>
      <c r="K3010" s="5"/>
    </row>
    <row r="3011">
      <c r="A3011" s="3" t="s">
        <v>3201</v>
      </c>
      <c r="B3011" s="3" t="s">
        <v>3192</v>
      </c>
      <c r="C3011" s="3" t="s">
        <v>3206</v>
      </c>
      <c r="D3011" s="4" t="str">
        <f t="shared" si="74"/>
        <v>12Go Link</v>
      </c>
      <c r="E3011" s="3" t="s">
        <v>3195</v>
      </c>
      <c r="K3011" s="5"/>
    </row>
    <row r="3012">
      <c r="A3012" s="3" t="s">
        <v>3201</v>
      </c>
      <c r="B3012" s="3" t="s">
        <v>3192</v>
      </c>
      <c r="C3012" s="3" t="s">
        <v>3206</v>
      </c>
      <c r="D3012" s="4" t="str">
        <f t="shared" si="74"/>
        <v>12Go Link</v>
      </c>
      <c r="E3012" s="3" t="s">
        <v>3196</v>
      </c>
      <c r="K3012" s="5"/>
    </row>
    <row r="3013">
      <c r="A3013" s="3" t="s">
        <v>3201</v>
      </c>
      <c r="B3013" s="3" t="s">
        <v>3192</v>
      </c>
      <c r="C3013" s="3" t="s">
        <v>3206</v>
      </c>
      <c r="D3013" s="4" t="str">
        <f t="shared" si="74"/>
        <v>12Go Link</v>
      </c>
      <c r="E3013" s="3" t="s">
        <v>3197</v>
      </c>
      <c r="K3013" s="5"/>
    </row>
    <row r="3014">
      <c r="A3014" s="3" t="s">
        <v>3201</v>
      </c>
      <c r="B3014" s="3" t="s">
        <v>3192</v>
      </c>
      <c r="C3014" s="3" t="s">
        <v>3207</v>
      </c>
      <c r="D3014" s="4" t="str">
        <f t="shared" ref="D3014:D3017" si="75">HYPERLINK("https://12go.asia/en/travel/Borg-El-Arab-Intl-Airport/Cairo-Hotel-Transfer", "12Go Link")</f>
        <v>12Go Link</v>
      </c>
      <c r="E3014" s="3" t="s">
        <v>3194</v>
      </c>
      <c r="K3014" s="5"/>
    </row>
    <row r="3015">
      <c r="A3015" s="3" t="s">
        <v>3201</v>
      </c>
      <c r="B3015" s="3" t="s">
        <v>3192</v>
      </c>
      <c r="C3015" s="3" t="s">
        <v>3207</v>
      </c>
      <c r="D3015" s="4" t="str">
        <f t="shared" si="75"/>
        <v>12Go Link</v>
      </c>
      <c r="E3015" s="3" t="s">
        <v>3195</v>
      </c>
      <c r="K3015" s="5"/>
    </row>
    <row r="3016">
      <c r="A3016" s="3" t="s">
        <v>3201</v>
      </c>
      <c r="B3016" s="3" t="s">
        <v>3192</v>
      </c>
      <c r="C3016" s="3" t="s">
        <v>3207</v>
      </c>
      <c r="D3016" s="4" t="str">
        <f t="shared" si="75"/>
        <v>12Go Link</v>
      </c>
      <c r="E3016" s="3" t="s">
        <v>3196</v>
      </c>
      <c r="K3016" s="5"/>
    </row>
    <row r="3017">
      <c r="A3017" s="3" t="s">
        <v>3201</v>
      </c>
      <c r="B3017" s="3" t="s">
        <v>3192</v>
      </c>
      <c r="C3017" s="3" t="s">
        <v>3207</v>
      </c>
      <c r="D3017" s="4" t="str">
        <f t="shared" si="75"/>
        <v>12Go Link</v>
      </c>
      <c r="E3017" s="3" t="s">
        <v>3197</v>
      </c>
      <c r="K3017" s="5"/>
    </row>
    <row r="3018">
      <c r="A3018" s="3" t="s">
        <v>3201</v>
      </c>
      <c r="B3018" s="3" t="s">
        <v>3192</v>
      </c>
      <c r="C3018" s="3" t="s">
        <v>3208</v>
      </c>
      <c r="D3018" s="4" t="str">
        <f t="shared" ref="D3018:D3021" si="76">HYPERLINK("https://12go.asia/en/travel/Borg-El-Arab-Intl-Airport/Cairo-International-Airport", "12Go Link")</f>
        <v>12Go Link</v>
      </c>
      <c r="E3018" s="3" t="s">
        <v>3194</v>
      </c>
      <c r="K3018" s="5"/>
    </row>
    <row r="3019">
      <c r="A3019" s="3" t="s">
        <v>3201</v>
      </c>
      <c r="B3019" s="3" t="s">
        <v>3192</v>
      </c>
      <c r="C3019" s="3" t="s">
        <v>3208</v>
      </c>
      <c r="D3019" s="4" t="str">
        <f t="shared" si="76"/>
        <v>12Go Link</v>
      </c>
      <c r="E3019" s="3" t="s">
        <v>3195</v>
      </c>
      <c r="K3019" s="5"/>
    </row>
    <row r="3020">
      <c r="A3020" s="3" t="s">
        <v>3201</v>
      </c>
      <c r="B3020" s="3" t="s">
        <v>3192</v>
      </c>
      <c r="C3020" s="3" t="s">
        <v>3208</v>
      </c>
      <c r="D3020" s="4" t="str">
        <f t="shared" si="76"/>
        <v>12Go Link</v>
      </c>
      <c r="E3020" s="3" t="s">
        <v>3196</v>
      </c>
      <c r="K3020" s="5"/>
    </row>
    <row r="3021">
      <c r="A3021" s="3" t="s">
        <v>3201</v>
      </c>
      <c r="B3021" s="3" t="s">
        <v>3192</v>
      </c>
      <c r="C3021" s="3" t="s">
        <v>3208</v>
      </c>
      <c r="D3021" s="4" t="str">
        <f t="shared" si="76"/>
        <v>12Go Link</v>
      </c>
      <c r="E3021" s="3" t="s">
        <v>3197</v>
      </c>
      <c r="K3021" s="5"/>
    </row>
    <row r="3022">
      <c r="A3022" s="3" t="s">
        <v>3209</v>
      </c>
      <c r="B3022" s="3" t="s">
        <v>3209</v>
      </c>
      <c r="C3022" s="3" t="s">
        <v>3210</v>
      </c>
      <c r="D3022" s="4" t="str">
        <f t="shared" ref="D3022:D3025" si="77">HYPERLINK("https://12go.asia/en/travel/Aswan-Airport/Aswan-Hotel-Transfer", "12Go Link")</f>
        <v>12Go Link</v>
      </c>
      <c r="E3022" s="3" t="s">
        <v>3196</v>
      </c>
      <c r="K3022" s="5"/>
    </row>
    <row r="3023">
      <c r="A3023" s="3" t="s">
        <v>3209</v>
      </c>
      <c r="B3023" s="3" t="s">
        <v>3209</v>
      </c>
      <c r="C3023" s="3" t="s">
        <v>3210</v>
      </c>
      <c r="D3023" s="4" t="str">
        <f t="shared" si="77"/>
        <v>12Go Link</v>
      </c>
      <c r="E3023" s="3" t="s">
        <v>3203</v>
      </c>
      <c r="K3023" s="5"/>
    </row>
    <row r="3024">
      <c r="A3024" s="3" t="s">
        <v>3209</v>
      </c>
      <c r="B3024" s="3" t="s">
        <v>3209</v>
      </c>
      <c r="C3024" s="3" t="s">
        <v>3210</v>
      </c>
      <c r="D3024" s="4" t="str">
        <f t="shared" si="77"/>
        <v>12Go Link</v>
      </c>
      <c r="E3024" s="3" t="s">
        <v>228</v>
      </c>
      <c r="K3024" s="5"/>
    </row>
    <row r="3025">
      <c r="A3025" s="3" t="s">
        <v>3209</v>
      </c>
      <c r="B3025" s="3" t="s">
        <v>3209</v>
      </c>
      <c r="C3025" s="3" t="s">
        <v>3210</v>
      </c>
      <c r="D3025" s="4" t="str">
        <f t="shared" si="77"/>
        <v>12Go Link</v>
      </c>
      <c r="E3025" s="3" t="s">
        <v>3197</v>
      </c>
      <c r="K3025" s="5"/>
    </row>
    <row r="3026">
      <c r="A3026" s="3" t="s">
        <v>3209</v>
      </c>
      <c r="B3026" s="3" t="s">
        <v>3209</v>
      </c>
      <c r="C3026" s="3" t="s">
        <v>3211</v>
      </c>
      <c r="D3026" s="4" t="str">
        <f t="shared" ref="D3026:D3029" si="78">HYPERLINK("https://12go.asia/en/travel/Aswan-Hotel-Transfer/Aswan-Airport", "12Go Link")</f>
        <v>12Go Link</v>
      </c>
      <c r="E3026" s="3" t="s">
        <v>3196</v>
      </c>
      <c r="K3026" s="5"/>
    </row>
    <row r="3027">
      <c r="A3027" s="3" t="s">
        <v>3209</v>
      </c>
      <c r="B3027" s="3" t="s">
        <v>3209</v>
      </c>
      <c r="C3027" s="3" t="s">
        <v>3211</v>
      </c>
      <c r="D3027" s="4" t="str">
        <f t="shared" si="78"/>
        <v>12Go Link</v>
      </c>
      <c r="E3027" s="3" t="s">
        <v>3203</v>
      </c>
      <c r="K3027" s="5"/>
    </row>
    <row r="3028">
      <c r="A3028" s="3" t="s">
        <v>3209</v>
      </c>
      <c r="B3028" s="3" t="s">
        <v>3209</v>
      </c>
      <c r="C3028" s="3" t="s">
        <v>3211</v>
      </c>
      <c r="D3028" s="4" t="str">
        <f t="shared" si="78"/>
        <v>12Go Link</v>
      </c>
      <c r="E3028" s="3" t="s">
        <v>228</v>
      </c>
      <c r="K3028" s="5"/>
    </row>
    <row r="3029">
      <c r="A3029" s="3" t="s">
        <v>3209</v>
      </c>
      <c r="B3029" s="3" t="s">
        <v>3209</v>
      </c>
      <c r="C3029" s="3" t="s">
        <v>3211</v>
      </c>
      <c r="D3029" s="4" t="str">
        <f t="shared" si="78"/>
        <v>12Go Link</v>
      </c>
      <c r="E3029" s="3" t="s">
        <v>3197</v>
      </c>
      <c r="K3029" s="5"/>
    </row>
    <row r="3030">
      <c r="A3030" s="3" t="s">
        <v>3209</v>
      </c>
      <c r="B3030" s="3" t="s">
        <v>3212</v>
      </c>
      <c r="C3030" s="3" t="s">
        <v>3213</v>
      </c>
      <c r="D3030" s="4" t="str">
        <f t="shared" ref="D3030:D3033" si="79">HYPERLINK("https://12go.asia/en/travel/Aswan-Airport/Edfu-Hotel-Transfer", "12Go Link")</f>
        <v>12Go Link</v>
      </c>
      <c r="E3030" s="3" t="s">
        <v>3196</v>
      </c>
      <c r="K3030" s="5"/>
    </row>
    <row r="3031">
      <c r="A3031" s="3" t="s">
        <v>3209</v>
      </c>
      <c r="B3031" s="3" t="s">
        <v>3212</v>
      </c>
      <c r="C3031" s="3" t="s">
        <v>3213</v>
      </c>
      <c r="D3031" s="4" t="str">
        <f t="shared" si="79"/>
        <v>12Go Link</v>
      </c>
      <c r="E3031" s="3" t="s">
        <v>3203</v>
      </c>
      <c r="K3031" s="5"/>
    </row>
    <row r="3032">
      <c r="A3032" s="3" t="s">
        <v>3209</v>
      </c>
      <c r="B3032" s="3" t="s">
        <v>3212</v>
      </c>
      <c r="C3032" s="3" t="s">
        <v>3213</v>
      </c>
      <c r="D3032" s="4" t="str">
        <f t="shared" si="79"/>
        <v>12Go Link</v>
      </c>
      <c r="E3032" s="3" t="s">
        <v>228</v>
      </c>
      <c r="K3032" s="5"/>
    </row>
    <row r="3033">
      <c r="A3033" s="3" t="s">
        <v>3209</v>
      </c>
      <c r="B3033" s="3" t="s">
        <v>3212</v>
      </c>
      <c r="C3033" s="3" t="s">
        <v>3213</v>
      </c>
      <c r="D3033" s="4" t="str">
        <f t="shared" si="79"/>
        <v>12Go Link</v>
      </c>
      <c r="E3033" s="3" t="s">
        <v>3197</v>
      </c>
      <c r="K3033" s="5"/>
    </row>
    <row r="3034">
      <c r="A3034" s="3" t="s">
        <v>3209</v>
      </c>
      <c r="B3034" s="3" t="s">
        <v>3214</v>
      </c>
      <c r="C3034" s="3" t="s">
        <v>3215</v>
      </c>
      <c r="D3034" s="4" t="str">
        <f t="shared" ref="D3034:D3037" si="80">HYPERLINK("https://12go.asia/en/travel/Aswan-Airport/El-Gouna-Hotel-Transfer", "12Go Link")</f>
        <v>12Go Link</v>
      </c>
      <c r="E3034" s="3" t="s">
        <v>3196</v>
      </c>
      <c r="K3034" s="5"/>
    </row>
    <row r="3035">
      <c r="A3035" s="3" t="s">
        <v>3209</v>
      </c>
      <c r="B3035" s="3" t="s">
        <v>3214</v>
      </c>
      <c r="C3035" s="3" t="s">
        <v>3215</v>
      </c>
      <c r="D3035" s="4" t="str">
        <f t="shared" si="80"/>
        <v>12Go Link</v>
      </c>
      <c r="E3035" s="3" t="s">
        <v>3203</v>
      </c>
      <c r="K3035" s="5"/>
    </row>
    <row r="3036">
      <c r="A3036" s="3" t="s">
        <v>3209</v>
      </c>
      <c r="B3036" s="3" t="s">
        <v>3214</v>
      </c>
      <c r="C3036" s="3" t="s">
        <v>3215</v>
      </c>
      <c r="D3036" s="4" t="str">
        <f t="shared" si="80"/>
        <v>12Go Link</v>
      </c>
      <c r="E3036" s="3" t="s">
        <v>228</v>
      </c>
      <c r="K3036" s="5"/>
    </row>
    <row r="3037">
      <c r="A3037" s="3" t="s">
        <v>3209</v>
      </c>
      <c r="B3037" s="3" t="s">
        <v>3214</v>
      </c>
      <c r="C3037" s="3" t="s">
        <v>3215</v>
      </c>
      <c r="D3037" s="4" t="str">
        <f t="shared" si="80"/>
        <v>12Go Link</v>
      </c>
      <c r="E3037" s="3" t="s">
        <v>3197</v>
      </c>
      <c r="K3037" s="5"/>
    </row>
    <row r="3038">
      <c r="A3038" s="3" t="s">
        <v>3209</v>
      </c>
      <c r="B3038" s="3" t="s">
        <v>3214</v>
      </c>
      <c r="C3038" s="3" t="s">
        <v>3216</v>
      </c>
      <c r="D3038" s="4" t="str">
        <f t="shared" ref="D3038:D3041" si="81">HYPERLINK("https://12go.asia/en/travel/Aswan-Airport/Hurghada-Hotel-Transfer", "12Go Link")</f>
        <v>12Go Link</v>
      </c>
      <c r="E3038" s="3" t="s">
        <v>3196</v>
      </c>
      <c r="K3038" s="5"/>
    </row>
    <row r="3039">
      <c r="A3039" s="3" t="s">
        <v>3209</v>
      </c>
      <c r="B3039" s="3" t="s">
        <v>3214</v>
      </c>
      <c r="C3039" s="3" t="s">
        <v>3216</v>
      </c>
      <c r="D3039" s="4" t="str">
        <f t="shared" si="81"/>
        <v>12Go Link</v>
      </c>
      <c r="E3039" s="3" t="s">
        <v>3203</v>
      </c>
      <c r="K3039" s="5"/>
    </row>
    <row r="3040">
      <c r="A3040" s="3" t="s">
        <v>3209</v>
      </c>
      <c r="B3040" s="3" t="s">
        <v>3214</v>
      </c>
      <c r="C3040" s="3" t="s">
        <v>3216</v>
      </c>
      <c r="D3040" s="4" t="str">
        <f t="shared" si="81"/>
        <v>12Go Link</v>
      </c>
      <c r="E3040" s="3" t="s">
        <v>228</v>
      </c>
      <c r="K3040" s="5"/>
    </row>
    <row r="3041">
      <c r="A3041" s="3" t="s">
        <v>3209</v>
      </c>
      <c r="B3041" s="3" t="s">
        <v>3214</v>
      </c>
      <c r="C3041" s="3" t="s">
        <v>3216</v>
      </c>
      <c r="D3041" s="4" t="str">
        <f t="shared" si="81"/>
        <v>12Go Link</v>
      </c>
      <c r="E3041" s="3" t="s">
        <v>3197</v>
      </c>
      <c r="K3041" s="5"/>
    </row>
    <row r="3042">
      <c r="A3042" s="3" t="s">
        <v>3209</v>
      </c>
      <c r="B3042" s="3" t="s">
        <v>3214</v>
      </c>
      <c r="C3042" s="3" t="s">
        <v>3217</v>
      </c>
      <c r="D3042" s="4" t="str">
        <f t="shared" ref="D3042:D3045" si="82">HYPERLINK("https://12go.asia/en/travel/Aswan-Airport/Hurghada-Intl-Airport", "12Go Link")</f>
        <v>12Go Link</v>
      </c>
      <c r="E3042" s="3" t="s">
        <v>3196</v>
      </c>
      <c r="K3042" s="5"/>
    </row>
    <row r="3043">
      <c r="A3043" s="3" t="s">
        <v>3209</v>
      </c>
      <c r="B3043" s="3" t="s">
        <v>3214</v>
      </c>
      <c r="C3043" s="3" t="s">
        <v>3217</v>
      </c>
      <c r="D3043" s="4" t="str">
        <f t="shared" si="82"/>
        <v>12Go Link</v>
      </c>
      <c r="E3043" s="3" t="s">
        <v>3203</v>
      </c>
      <c r="K3043" s="5"/>
    </row>
    <row r="3044">
      <c r="A3044" s="3" t="s">
        <v>3209</v>
      </c>
      <c r="B3044" s="3" t="s">
        <v>3214</v>
      </c>
      <c r="C3044" s="3" t="s">
        <v>3217</v>
      </c>
      <c r="D3044" s="4" t="str">
        <f t="shared" si="82"/>
        <v>12Go Link</v>
      </c>
      <c r="E3044" s="3" t="s">
        <v>228</v>
      </c>
      <c r="K3044" s="5"/>
    </row>
    <row r="3045">
      <c r="A3045" s="3" t="s">
        <v>3209</v>
      </c>
      <c r="B3045" s="3" t="s">
        <v>3214</v>
      </c>
      <c r="C3045" s="3" t="s">
        <v>3217</v>
      </c>
      <c r="D3045" s="4" t="str">
        <f t="shared" si="82"/>
        <v>12Go Link</v>
      </c>
      <c r="E3045" s="3" t="s">
        <v>3197</v>
      </c>
      <c r="K3045" s="5"/>
    </row>
    <row r="3046">
      <c r="A3046" s="3" t="s">
        <v>3209</v>
      </c>
      <c r="B3046" s="3" t="s">
        <v>3214</v>
      </c>
      <c r="C3046" s="3" t="s">
        <v>3218</v>
      </c>
      <c r="D3046" s="4" t="str">
        <f t="shared" ref="D3046:D3049" si="83">HYPERLINK("https://12go.asia/en/travel/Aswan-Airport/Makadi-Bay-Hotel-Transfer", "12Go Link")</f>
        <v>12Go Link</v>
      </c>
      <c r="E3046" s="3" t="s">
        <v>3196</v>
      </c>
      <c r="K3046" s="5"/>
    </row>
    <row r="3047">
      <c r="A3047" s="3" t="s">
        <v>3209</v>
      </c>
      <c r="B3047" s="3" t="s">
        <v>3214</v>
      </c>
      <c r="C3047" s="3" t="s">
        <v>3218</v>
      </c>
      <c r="D3047" s="4" t="str">
        <f t="shared" si="83"/>
        <v>12Go Link</v>
      </c>
      <c r="E3047" s="3" t="s">
        <v>3203</v>
      </c>
      <c r="K3047" s="5"/>
    </row>
    <row r="3048">
      <c r="A3048" s="3" t="s">
        <v>3209</v>
      </c>
      <c r="B3048" s="3" t="s">
        <v>3214</v>
      </c>
      <c r="C3048" s="3" t="s">
        <v>3218</v>
      </c>
      <c r="D3048" s="4" t="str">
        <f t="shared" si="83"/>
        <v>12Go Link</v>
      </c>
      <c r="E3048" s="3" t="s">
        <v>228</v>
      </c>
      <c r="K3048" s="5"/>
    </row>
    <row r="3049">
      <c r="A3049" s="3" t="s">
        <v>3209</v>
      </c>
      <c r="B3049" s="3" t="s">
        <v>3214</v>
      </c>
      <c r="C3049" s="3" t="s">
        <v>3218</v>
      </c>
      <c r="D3049" s="4" t="str">
        <f t="shared" si="83"/>
        <v>12Go Link</v>
      </c>
      <c r="E3049" s="3" t="s">
        <v>3197</v>
      </c>
      <c r="K3049" s="5"/>
    </row>
    <row r="3050">
      <c r="A3050" s="3" t="s">
        <v>3209</v>
      </c>
      <c r="B3050" s="3" t="s">
        <v>3219</v>
      </c>
      <c r="C3050" s="3" t="s">
        <v>3220</v>
      </c>
      <c r="D3050" s="4" t="str">
        <f t="shared" ref="D3050:D3053" si="84">HYPERLINK("https://12go.asia/en/travel/Aswan-Airport/Luxor-Hotel-Transfer", "12Go Link")</f>
        <v>12Go Link</v>
      </c>
      <c r="E3050" s="3" t="s">
        <v>3196</v>
      </c>
      <c r="K3050" s="5"/>
    </row>
    <row r="3051">
      <c r="A3051" s="3" t="s">
        <v>3209</v>
      </c>
      <c r="B3051" s="3" t="s">
        <v>3219</v>
      </c>
      <c r="C3051" s="3" t="s">
        <v>3220</v>
      </c>
      <c r="D3051" s="4" t="str">
        <f t="shared" si="84"/>
        <v>12Go Link</v>
      </c>
      <c r="E3051" s="3" t="s">
        <v>3203</v>
      </c>
      <c r="K3051" s="5"/>
    </row>
    <row r="3052">
      <c r="A3052" s="3" t="s">
        <v>3209</v>
      </c>
      <c r="B3052" s="3" t="s">
        <v>3219</v>
      </c>
      <c r="C3052" s="3" t="s">
        <v>3220</v>
      </c>
      <c r="D3052" s="4" t="str">
        <f t="shared" si="84"/>
        <v>12Go Link</v>
      </c>
      <c r="E3052" s="3" t="s">
        <v>228</v>
      </c>
      <c r="K3052" s="5"/>
    </row>
    <row r="3053">
      <c r="A3053" s="3" t="s">
        <v>3209</v>
      </c>
      <c r="B3053" s="3" t="s">
        <v>3219</v>
      </c>
      <c r="C3053" s="3" t="s">
        <v>3220</v>
      </c>
      <c r="D3053" s="4" t="str">
        <f t="shared" si="84"/>
        <v>12Go Link</v>
      </c>
      <c r="E3053" s="3" t="s">
        <v>3197</v>
      </c>
      <c r="K3053" s="5"/>
    </row>
    <row r="3054">
      <c r="A3054" s="3" t="s">
        <v>3209</v>
      </c>
      <c r="B3054" s="3" t="s">
        <v>3219</v>
      </c>
      <c r="C3054" s="3" t="s">
        <v>3221</v>
      </c>
      <c r="D3054" s="4" t="str">
        <f t="shared" ref="D3054:D3057" si="85">HYPERLINK("https://12go.asia/en/travel/Aswan-Airport/Luxor-International-Airport", "12Go Link")</f>
        <v>12Go Link</v>
      </c>
      <c r="E3054" s="3" t="s">
        <v>3196</v>
      </c>
      <c r="K3054" s="5"/>
    </row>
    <row r="3055">
      <c r="A3055" s="3" t="s">
        <v>3209</v>
      </c>
      <c r="B3055" s="3" t="s">
        <v>3219</v>
      </c>
      <c r="C3055" s="3" t="s">
        <v>3221</v>
      </c>
      <c r="D3055" s="4" t="str">
        <f t="shared" si="85"/>
        <v>12Go Link</v>
      </c>
      <c r="E3055" s="3" t="s">
        <v>3203</v>
      </c>
      <c r="K3055" s="5"/>
    </row>
    <row r="3056">
      <c r="A3056" s="3" t="s">
        <v>3209</v>
      </c>
      <c r="B3056" s="3" t="s">
        <v>3219</v>
      </c>
      <c r="C3056" s="3" t="s">
        <v>3221</v>
      </c>
      <c r="D3056" s="4" t="str">
        <f t="shared" si="85"/>
        <v>12Go Link</v>
      </c>
      <c r="E3056" s="3" t="s">
        <v>228</v>
      </c>
      <c r="K3056" s="5"/>
    </row>
    <row r="3057">
      <c r="A3057" s="3" t="s">
        <v>3209</v>
      </c>
      <c r="B3057" s="3" t="s">
        <v>3219</v>
      </c>
      <c r="C3057" s="3" t="s">
        <v>3221</v>
      </c>
      <c r="D3057" s="4" t="str">
        <f t="shared" si="85"/>
        <v>12Go Link</v>
      </c>
      <c r="E3057" s="3" t="s">
        <v>3197</v>
      </c>
      <c r="K3057" s="5"/>
    </row>
    <row r="3058">
      <c r="A3058" s="3" t="s">
        <v>3209</v>
      </c>
      <c r="B3058" s="3" t="s">
        <v>3219</v>
      </c>
      <c r="C3058" s="3" t="s">
        <v>3222</v>
      </c>
      <c r="D3058" s="4" t="str">
        <f t="shared" ref="D3058:D3061" si="86">HYPERLINK("https://12go.asia/en/travel/Aswan-Hotel-Transfer/Luxor-International-Airport", "12Go Link")</f>
        <v>12Go Link</v>
      </c>
      <c r="E3058" s="3" t="s">
        <v>3196</v>
      </c>
      <c r="K3058" s="5"/>
    </row>
    <row r="3059">
      <c r="A3059" s="3" t="s">
        <v>3209</v>
      </c>
      <c r="B3059" s="3" t="s">
        <v>3219</v>
      </c>
      <c r="C3059" s="3" t="s">
        <v>3222</v>
      </c>
      <c r="D3059" s="4" t="str">
        <f t="shared" si="86"/>
        <v>12Go Link</v>
      </c>
      <c r="E3059" s="3" t="s">
        <v>3203</v>
      </c>
      <c r="K3059" s="5"/>
    </row>
    <row r="3060">
      <c r="A3060" s="3" t="s">
        <v>3209</v>
      </c>
      <c r="B3060" s="3" t="s">
        <v>3219</v>
      </c>
      <c r="C3060" s="3" t="s">
        <v>3222</v>
      </c>
      <c r="D3060" s="4" t="str">
        <f t="shared" si="86"/>
        <v>12Go Link</v>
      </c>
      <c r="E3060" s="3" t="s">
        <v>228</v>
      </c>
      <c r="K3060" s="5"/>
    </row>
    <row r="3061">
      <c r="A3061" s="3" t="s">
        <v>3209</v>
      </c>
      <c r="B3061" s="3" t="s">
        <v>3219</v>
      </c>
      <c r="C3061" s="3" t="s">
        <v>3222</v>
      </c>
      <c r="D3061" s="4" t="str">
        <f t="shared" si="86"/>
        <v>12Go Link</v>
      </c>
      <c r="E3061" s="3" t="s">
        <v>3197</v>
      </c>
      <c r="K3061" s="5"/>
    </row>
    <row r="3062">
      <c r="A3062" s="3" t="s">
        <v>3192</v>
      </c>
      <c r="B3062" s="3" t="s">
        <v>3191</v>
      </c>
      <c r="C3062" s="3" t="s">
        <v>3223</v>
      </c>
      <c r="D3062" s="4" t="str">
        <f t="shared" ref="D3062:D3065" si="87">HYPERLINK("https://12go.asia/en/travel/Cairo-Hotel-Transfer/Ain-Sokhna-Hotel-Transfer", "12Go Link")</f>
        <v>12Go Link</v>
      </c>
      <c r="E3062" s="3" t="s">
        <v>3194</v>
      </c>
      <c r="K3062" s="5"/>
    </row>
    <row r="3063">
      <c r="A3063" s="3" t="s">
        <v>3192</v>
      </c>
      <c r="B3063" s="3" t="s">
        <v>3191</v>
      </c>
      <c r="C3063" s="3" t="s">
        <v>3223</v>
      </c>
      <c r="D3063" s="4" t="str">
        <f t="shared" si="87"/>
        <v>12Go Link</v>
      </c>
      <c r="E3063" s="3" t="s">
        <v>3195</v>
      </c>
      <c r="K3063" s="5"/>
    </row>
    <row r="3064">
      <c r="A3064" s="3" t="s">
        <v>3192</v>
      </c>
      <c r="B3064" s="3" t="s">
        <v>3191</v>
      </c>
      <c r="C3064" s="3" t="s">
        <v>3223</v>
      </c>
      <c r="D3064" s="4" t="str">
        <f t="shared" si="87"/>
        <v>12Go Link</v>
      </c>
      <c r="E3064" s="3" t="s">
        <v>3196</v>
      </c>
      <c r="K3064" s="5"/>
    </row>
    <row r="3065">
      <c r="A3065" s="3" t="s">
        <v>3192</v>
      </c>
      <c r="B3065" s="3" t="s">
        <v>3191</v>
      </c>
      <c r="C3065" s="3" t="s">
        <v>3223</v>
      </c>
      <c r="D3065" s="4" t="str">
        <f t="shared" si="87"/>
        <v>12Go Link</v>
      </c>
      <c r="E3065" s="3" t="s">
        <v>3197</v>
      </c>
      <c r="K3065" s="5"/>
    </row>
    <row r="3066">
      <c r="A3066" s="3" t="s">
        <v>3192</v>
      </c>
      <c r="B3066" s="3" t="s">
        <v>3191</v>
      </c>
      <c r="C3066" s="3" t="s">
        <v>3224</v>
      </c>
      <c r="D3066" s="4" t="str">
        <f t="shared" ref="D3066:D3069" si="88">HYPERLINK("https://12go.asia/en/travel/Cairo-Hotel-Transfer/Ain-Sokhna-Port", "12Go Link")</f>
        <v>12Go Link</v>
      </c>
      <c r="E3066" s="3" t="s">
        <v>3194</v>
      </c>
      <c r="K3066" s="5"/>
    </row>
    <row r="3067">
      <c r="A3067" s="3" t="s">
        <v>3192</v>
      </c>
      <c r="B3067" s="3" t="s">
        <v>3191</v>
      </c>
      <c r="C3067" s="3" t="s">
        <v>3224</v>
      </c>
      <c r="D3067" s="4" t="str">
        <f t="shared" si="88"/>
        <v>12Go Link</v>
      </c>
      <c r="E3067" s="3" t="s">
        <v>3195</v>
      </c>
      <c r="K3067" s="5"/>
    </row>
    <row r="3068">
      <c r="A3068" s="3" t="s">
        <v>3192</v>
      </c>
      <c r="B3068" s="3" t="s">
        <v>3191</v>
      </c>
      <c r="C3068" s="3" t="s">
        <v>3224</v>
      </c>
      <c r="D3068" s="4" t="str">
        <f t="shared" si="88"/>
        <v>12Go Link</v>
      </c>
      <c r="E3068" s="3" t="s">
        <v>3196</v>
      </c>
      <c r="K3068" s="5"/>
    </row>
    <row r="3069">
      <c r="A3069" s="3" t="s">
        <v>3192</v>
      </c>
      <c r="B3069" s="3" t="s">
        <v>3191</v>
      </c>
      <c r="C3069" s="3" t="s">
        <v>3224</v>
      </c>
      <c r="D3069" s="4" t="str">
        <f t="shared" si="88"/>
        <v>12Go Link</v>
      </c>
      <c r="E3069" s="3" t="s">
        <v>3197</v>
      </c>
      <c r="K3069" s="5"/>
    </row>
    <row r="3070">
      <c r="A3070" s="3" t="s">
        <v>3192</v>
      </c>
      <c r="B3070" s="3" t="s">
        <v>3191</v>
      </c>
      <c r="C3070" s="3" t="s">
        <v>3225</v>
      </c>
      <c r="D3070" s="4" t="str">
        <f t="shared" ref="D3070:D3073" si="89">HYPERLINK("https://12go.asia/en/travel/Cairo-International-Airport/Ain-Sokhna-Hotel-Transfer", "12Go Link")</f>
        <v>12Go Link</v>
      </c>
      <c r="E3070" s="3" t="s">
        <v>3194</v>
      </c>
      <c r="K3070" s="5"/>
    </row>
    <row r="3071">
      <c r="A3071" s="3" t="s">
        <v>3192</v>
      </c>
      <c r="B3071" s="3" t="s">
        <v>3191</v>
      </c>
      <c r="C3071" s="3" t="s">
        <v>3225</v>
      </c>
      <c r="D3071" s="4" t="str">
        <f t="shared" si="89"/>
        <v>12Go Link</v>
      </c>
      <c r="E3071" s="3" t="s">
        <v>3195</v>
      </c>
      <c r="K3071" s="5"/>
    </row>
    <row r="3072">
      <c r="A3072" s="3" t="s">
        <v>3192</v>
      </c>
      <c r="B3072" s="3" t="s">
        <v>3191</v>
      </c>
      <c r="C3072" s="3" t="s">
        <v>3225</v>
      </c>
      <c r="D3072" s="4" t="str">
        <f t="shared" si="89"/>
        <v>12Go Link</v>
      </c>
      <c r="E3072" s="3" t="s">
        <v>3196</v>
      </c>
      <c r="K3072" s="5"/>
    </row>
    <row r="3073">
      <c r="A3073" s="3" t="s">
        <v>3192</v>
      </c>
      <c r="B3073" s="3" t="s">
        <v>3191</v>
      </c>
      <c r="C3073" s="3" t="s">
        <v>3225</v>
      </c>
      <c r="D3073" s="4" t="str">
        <f t="shared" si="89"/>
        <v>12Go Link</v>
      </c>
      <c r="E3073" s="3" t="s">
        <v>3197</v>
      </c>
      <c r="K3073" s="5"/>
    </row>
    <row r="3074">
      <c r="A3074" s="3" t="s">
        <v>3192</v>
      </c>
      <c r="B3074" s="3" t="s">
        <v>3191</v>
      </c>
      <c r="C3074" s="3" t="s">
        <v>3226</v>
      </c>
      <c r="D3074" s="4" t="str">
        <f t="shared" ref="D3074:D3077" si="90">HYPERLINK("https://12go.asia/en/travel/Cairo-International-Airport/Ain-Sokhna-Port", "12Go Link")</f>
        <v>12Go Link</v>
      </c>
      <c r="E3074" s="3" t="s">
        <v>3194</v>
      </c>
      <c r="K3074" s="5"/>
    </row>
    <row r="3075">
      <c r="A3075" s="3" t="s">
        <v>3192</v>
      </c>
      <c r="B3075" s="3" t="s">
        <v>3191</v>
      </c>
      <c r="C3075" s="3" t="s">
        <v>3226</v>
      </c>
      <c r="D3075" s="4" t="str">
        <f t="shared" si="90"/>
        <v>12Go Link</v>
      </c>
      <c r="E3075" s="3" t="s">
        <v>3195</v>
      </c>
      <c r="K3075" s="5"/>
    </row>
    <row r="3076">
      <c r="A3076" s="3" t="s">
        <v>3192</v>
      </c>
      <c r="B3076" s="3" t="s">
        <v>3191</v>
      </c>
      <c r="C3076" s="3" t="s">
        <v>3226</v>
      </c>
      <c r="D3076" s="4" t="str">
        <f t="shared" si="90"/>
        <v>12Go Link</v>
      </c>
      <c r="E3076" s="3" t="s">
        <v>3196</v>
      </c>
      <c r="K3076" s="5"/>
    </row>
    <row r="3077">
      <c r="A3077" s="3" t="s">
        <v>3192</v>
      </c>
      <c r="B3077" s="3" t="s">
        <v>3191</v>
      </c>
      <c r="C3077" s="3" t="s">
        <v>3226</v>
      </c>
      <c r="D3077" s="4" t="str">
        <f t="shared" si="90"/>
        <v>12Go Link</v>
      </c>
      <c r="E3077" s="3" t="s">
        <v>3197</v>
      </c>
      <c r="K3077" s="5"/>
    </row>
    <row r="3078">
      <c r="A3078" s="3" t="s">
        <v>3192</v>
      </c>
      <c r="B3078" s="3" t="s">
        <v>3201</v>
      </c>
      <c r="C3078" s="3" t="s">
        <v>3227</v>
      </c>
      <c r="D3078" s="4" t="str">
        <f t="shared" ref="D3078:D3083" si="91">HYPERLINK("https://12go.asia/en/travel/Cairo-Hotel-Transfer/Alexandria-Hotel-Transfer", "12Go Link")</f>
        <v>12Go Link</v>
      </c>
      <c r="E3078" s="3" t="s">
        <v>3194</v>
      </c>
      <c r="K3078" s="5"/>
    </row>
    <row r="3079">
      <c r="A3079" s="3" t="s">
        <v>3192</v>
      </c>
      <c r="B3079" s="3" t="s">
        <v>3201</v>
      </c>
      <c r="C3079" s="3" t="s">
        <v>3227</v>
      </c>
      <c r="D3079" s="4" t="str">
        <f t="shared" si="91"/>
        <v>12Go Link</v>
      </c>
      <c r="E3079" s="3" t="s">
        <v>3195</v>
      </c>
      <c r="K3079" s="5"/>
    </row>
    <row r="3080">
      <c r="A3080" s="3" t="s">
        <v>3192</v>
      </c>
      <c r="B3080" s="3" t="s">
        <v>3201</v>
      </c>
      <c r="C3080" s="3" t="s">
        <v>3227</v>
      </c>
      <c r="D3080" s="4" t="str">
        <f t="shared" si="91"/>
        <v>12Go Link</v>
      </c>
      <c r="E3080" s="3" t="s">
        <v>3196</v>
      </c>
      <c r="K3080" s="5"/>
    </row>
    <row r="3081">
      <c r="A3081" s="3" t="s">
        <v>3192</v>
      </c>
      <c r="B3081" s="3" t="s">
        <v>3201</v>
      </c>
      <c r="C3081" s="3" t="s">
        <v>3227</v>
      </c>
      <c r="D3081" s="4" t="str">
        <f t="shared" si="91"/>
        <v>12Go Link</v>
      </c>
      <c r="E3081" s="3" t="s">
        <v>3203</v>
      </c>
      <c r="K3081" s="5"/>
    </row>
    <row r="3082">
      <c r="A3082" s="3" t="s">
        <v>3192</v>
      </c>
      <c r="B3082" s="3" t="s">
        <v>3201</v>
      </c>
      <c r="C3082" s="3" t="s">
        <v>3227</v>
      </c>
      <c r="D3082" s="4" t="str">
        <f t="shared" si="91"/>
        <v>12Go Link</v>
      </c>
      <c r="E3082" s="3" t="s">
        <v>228</v>
      </c>
      <c r="K3082" s="5"/>
    </row>
    <row r="3083">
      <c r="A3083" s="3" t="s">
        <v>3192</v>
      </c>
      <c r="B3083" s="3" t="s">
        <v>3201</v>
      </c>
      <c r="C3083" s="3" t="s">
        <v>3227</v>
      </c>
      <c r="D3083" s="4" t="str">
        <f t="shared" si="91"/>
        <v>12Go Link</v>
      </c>
      <c r="E3083" s="3" t="s">
        <v>3197</v>
      </c>
      <c r="K3083" s="5"/>
    </row>
    <row r="3084">
      <c r="A3084" s="3" t="s">
        <v>3192</v>
      </c>
      <c r="B3084" s="3" t="s">
        <v>3201</v>
      </c>
      <c r="C3084" s="3" t="s">
        <v>3228</v>
      </c>
      <c r="D3084" s="4" t="str">
        <f t="shared" ref="D3084:D3087" si="92">HYPERLINK("https://12go.asia/en/travel/Cairo-Hotel-Transfer/Alexandria-Port", "12Go Link")</f>
        <v>12Go Link</v>
      </c>
      <c r="E3084" s="3" t="s">
        <v>3194</v>
      </c>
      <c r="K3084" s="5"/>
    </row>
    <row r="3085">
      <c r="A3085" s="3" t="s">
        <v>3192</v>
      </c>
      <c r="B3085" s="3" t="s">
        <v>3201</v>
      </c>
      <c r="C3085" s="3" t="s">
        <v>3228</v>
      </c>
      <c r="D3085" s="4" t="str">
        <f t="shared" si="92"/>
        <v>12Go Link</v>
      </c>
      <c r="E3085" s="3" t="s">
        <v>3195</v>
      </c>
      <c r="K3085" s="5"/>
    </row>
    <row r="3086">
      <c r="A3086" s="3" t="s">
        <v>3192</v>
      </c>
      <c r="B3086" s="3" t="s">
        <v>3201</v>
      </c>
      <c r="C3086" s="3" t="s">
        <v>3228</v>
      </c>
      <c r="D3086" s="4" t="str">
        <f t="shared" si="92"/>
        <v>12Go Link</v>
      </c>
      <c r="E3086" s="3" t="s">
        <v>3196</v>
      </c>
      <c r="K3086" s="5"/>
    </row>
    <row r="3087">
      <c r="A3087" s="3" t="s">
        <v>3192</v>
      </c>
      <c r="B3087" s="3" t="s">
        <v>3201</v>
      </c>
      <c r="C3087" s="3" t="s">
        <v>3228</v>
      </c>
      <c r="D3087" s="4" t="str">
        <f t="shared" si="92"/>
        <v>12Go Link</v>
      </c>
      <c r="E3087" s="3" t="s">
        <v>3197</v>
      </c>
      <c r="K3087" s="5"/>
    </row>
    <row r="3088">
      <c r="A3088" s="3" t="s">
        <v>3192</v>
      </c>
      <c r="B3088" s="3" t="s">
        <v>3201</v>
      </c>
      <c r="C3088" s="3" t="s">
        <v>3229</v>
      </c>
      <c r="D3088" s="4" t="str">
        <f t="shared" ref="D3088:D3091" si="93">HYPERLINK("https://12go.asia/en/travel/Cairo-Hotel-Transfer/Borg-El-Arab-Intl-Airport", "12Go Link")</f>
        <v>12Go Link</v>
      </c>
      <c r="E3088" s="3" t="s">
        <v>3194</v>
      </c>
      <c r="K3088" s="5"/>
    </row>
    <row r="3089">
      <c r="A3089" s="3" t="s">
        <v>3192</v>
      </c>
      <c r="B3089" s="3" t="s">
        <v>3201</v>
      </c>
      <c r="C3089" s="3" t="s">
        <v>3229</v>
      </c>
      <c r="D3089" s="4" t="str">
        <f t="shared" si="93"/>
        <v>12Go Link</v>
      </c>
      <c r="E3089" s="3" t="s">
        <v>3195</v>
      </c>
      <c r="K3089" s="5"/>
    </row>
    <row r="3090">
      <c r="A3090" s="3" t="s">
        <v>3192</v>
      </c>
      <c r="B3090" s="3" t="s">
        <v>3201</v>
      </c>
      <c r="C3090" s="3" t="s">
        <v>3229</v>
      </c>
      <c r="D3090" s="4" t="str">
        <f t="shared" si="93"/>
        <v>12Go Link</v>
      </c>
      <c r="E3090" s="3" t="s">
        <v>3196</v>
      </c>
      <c r="K3090" s="5"/>
    </row>
    <row r="3091">
      <c r="A3091" s="3" t="s">
        <v>3192</v>
      </c>
      <c r="B3091" s="3" t="s">
        <v>3201</v>
      </c>
      <c r="C3091" s="3" t="s">
        <v>3229</v>
      </c>
      <c r="D3091" s="4" t="str">
        <f t="shared" si="93"/>
        <v>12Go Link</v>
      </c>
      <c r="E3091" s="3" t="s">
        <v>3197</v>
      </c>
      <c r="K3091" s="5"/>
    </row>
    <row r="3092">
      <c r="A3092" s="3" t="s">
        <v>3192</v>
      </c>
      <c r="B3092" s="3" t="s">
        <v>3201</v>
      </c>
      <c r="C3092" s="3" t="s">
        <v>3230</v>
      </c>
      <c r="D3092" s="4" t="str">
        <f t="shared" ref="D3092:D3095" si="94">HYPERLINK("https://12go.asia/en/travel/Cairo-International-Airport/Alexandria-Hotel-Transfer", "12Go Link")</f>
        <v>12Go Link</v>
      </c>
      <c r="E3092" s="3" t="s">
        <v>3194</v>
      </c>
      <c r="K3092" s="5"/>
    </row>
    <row r="3093">
      <c r="A3093" s="3" t="s">
        <v>3192</v>
      </c>
      <c r="B3093" s="3" t="s">
        <v>3201</v>
      </c>
      <c r="C3093" s="3" t="s">
        <v>3230</v>
      </c>
      <c r="D3093" s="4" t="str">
        <f t="shared" si="94"/>
        <v>12Go Link</v>
      </c>
      <c r="E3093" s="3" t="s">
        <v>3195</v>
      </c>
      <c r="K3093" s="5"/>
    </row>
    <row r="3094">
      <c r="A3094" s="3" t="s">
        <v>3192</v>
      </c>
      <c r="B3094" s="3" t="s">
        <v>3201</v>
      </c>
      <c r="C3094" s="3" t="s">
        <v>3230</v>
      </c>
      <c r="D3094" s="4" t="str">
        <f t="shared" si="94"/>
        <v>12Go Link</v>
      </c>
      <c r="E3094" s="3" t="s">
        <v>3196</v>
      </c>
      <c r="K3094" s="5"/>
    </row>
    <row r="3095">
      <c r="A3095" s="3" t="s">
        <v>3192</v>
      </c>
      <c r="B3095" s="3" t="s">
        <v>3201</v>
      </c>
      <c r="C3095" s="3" t="s">
        <v>3230</v>
      </c>
      <c r="D3095" s="4" t="str">
        <f t="shared" si="94"/>
        <v>12Go Link</v>
      </c>
      <c r="E3095" s="3" t="s">
        <v>3197</v>
      </c>
      <c r="K3095" s="5"/>
    </row>
    <row r="3096">
      <c r="A3096" s="3" t="s">
        <v>3192</v>
      </c>
      <c r="B3096" s="3" t="s">
        <v>3201</v>
      </c>
      <c r="C3096" s="3" t="s">
        <v>3231</v>
      </c>
      <c r="D3096" s="4" t="str">
        <f t="shared" ref="D3096:D3099" si="95">HYPERLINK("https://12go.asia/en/travel/Cairo-International-Airport/Alexandria-Port", "12Go Link")</f>
        <v>12Go Link</v>
      </c>
      <c r="E3096" s="3" t="s">
        <v>3194</v>
      </c>
      <c r="K3096" s="5"/>
    </row>
    <row r="3097">
      <c r="A3097" s="3" t="s">
        <v>3192</v>
      </c>
      <c r="B3097" s="3" t="s">
        <v>3201</v>
      </c>
      <c r="C3097" s="3" t="s">
        <v>3231</v>
      </c>
      <c r="D3097" s="4" t="str">
        <f t="shared" si="95"/>
        <v>12Go Link</v>
      </c>
      <c r="E3097" s="3" t="s">
        <v>3195</v>
      </c>
      <c r="K3097" s="5"/>
    </row>
    <row r="3098">
      <c r="A3098" s="3" t="s">
        <v>3192</v>
      </c>
      <c r="B3098" s="3" t="s">
        <v>3201</v>
      </c>
      <c r="C3098" s="3" t="s">
        <v>3231</v>
      </c>
      <c r="D3098" s="4" t="str">
        <f t="shared" si="95"/>
        <v>12Go Link</v>
      </c>
      <c r="E3098" s="3" t="s">
        <v>3196</v>
      </c>
      <c r="K3098" s="5"/>
    </row>
    <row r="3099">
      <c r="A3099" s="3" t="s">
        <v>3192</v>
      </c>
      <c r="B3099" s="3" t="s">
        <v>3201</v>
      </c>
      <c r="C3099" s="3" t="s">
        <v>3231</v>
      </c>
      <c r="D3099" s="4" t="str">
        <f t="shared" si="95"/>
        <v>12Go Link</v>
      </c>
      <c r="E3099" s="3" t="s">
        <v>3197</v>
      </c>
      <c r="K3099" s="5"/>
    </row>
    <row r="3100">
      <c r="A3100" s="3" t="s">
        <v>3192</v>
      </c>
      <c r="B3100" s="3" t="s">
        <v>3201</v>
      </c>
      <c r="C3100" s="3" t="s">
        <v>3232</v>
      </c>
      <c r="D3100" s="4" t="str">
        <f t="shared" ref="D3100:D3103" si="96">HYPERLINK("https://12go.asia/en/travel/Cairo-International-Airport/Borg-El-Arab-Intl-Airport", "12Go Link")</f>
        <v>12Go Link</v>
      </c>
      <c r="E3100" s="3" t="s">
        <v>3194</v>
      </c>
      <c r="K3100" s="5"/>
    </row>
    <row r="3101">
      <c r="A3101" s="3" t="s">
        <v>3192</v>
      </c>
      <c r="B3101" s="3" t="s">
        <v>3201</v>
      </c>
      <c r="C3101" s="3" t="s">
        <v>3232</v>
      </c>
      <c r="D3101" s="4" t="str">
        <f t="shared" si="96"/>
        <v>12Go Link</v>
      </c>
      <c r="E3101" s="3" t="s">
        <v>3195</v>
      </c>
      <c r="K3101" s="5"/>
    </row>
    <row r="3102">
      <c r="A3102" s="3" t="s">
        <v>3192</v>
      </c>
      <c r="B3102" s="3" t="s">
        <v>3201</v>
      </c>
      <c r="C3102" s="3" t="s">
        <v>3232</v>
      </c>
      <c r="D3102" s="4" t="str">
        <f t="shared" si="96"/>
        <v>12Go Link</v>
      </c>
      <c r="E3102" s="3" t="s">
        <v>3196</v>
      </c>
      <c r="K3102" s="5"/>
    </row>
    <row r="3103">
      <c r="A3103" s="3" t="s">
        <v>3192</v>
      </c>
      <c r="B3103" s="3" t="s">
        <v>3201</v>
      </c>
      <c r="C3103" s="3" t="s">
        <v>3232</v>
      </c>
      <c r="D3103" s="4" t="str">
        <f t="shared" si="96"/>
        <v>12Go Link</v>
      </c>
      <c r="E3103" s="3" t="s">
        <v>3197</v>
      </c>
      <c r="K3103" s="5"/>
    </row>
    <row r="3104">
      <c r="A3104" s="3" t="s">
        <v>3192</v>
      </c>
      <c r="B3104" s="3" t="s">
        <v>3192</v>
      </c>
      <c r="C3104" s="3" t="s">
        <v>3233</v>
      </c>
      <c r="D3104" s="4" t="str">
        <f t="shared" ref="D3104:D3107" si="97">HYPERLINK("https://12go.asia/en/travel/6th-of-October-City-Transfer/Cairo-Hotel-Transfer", "12Go Link")</f>
        <v>12Go Link</v>
      </c>
      <c r="E3104" s="3" t="s">
        <v>3194</v>
      </c>
      <c r="K3104" s="5"/>
    </row>
    <row r="3105">
      <c r="A3105" s="3" t="s">
        <v>3192</v>
      </c>
      <c r="B3105" s="3" t="s">
        <v>3192</v>
      </c>
      <c r="C3105" s="3" t="s">
        <v>3233</v>
      </c>
      <c r="D3105" s="4" t="str">
        <f t="shared" si="97"/>
        <v>12Go Link</v>
      </c>
      <c r="E3105" s="3" t="s">
        <v>3195</v>
      </c>
      <c r="K3105" s="5"/>
    </row>
    <row r="3106">
      <c r="A3106" s="3" t="s">
        <v>3192</v>
      </c>
      <c r="B3106" s="3" t="s">
        <v>3192</v>
      </c>
      <c r="C3106" s="3" t="s">
        <v>3233</v>
      </c>
      <c r="D3106" s="4" t="str">
        <f t="shared" si="97"/>
        <v>12Go Link</v>
      </c>
      <c r="E3106" s="3" t="s">
        <v>3196</v>
      </c>
      <c r="K3106" s="5"/>
    </row>
    <row r="3107">
      <c r="A3107" s="3" t="s">
        <v>3192</v>
      </c>
      <c r="B3107" s="3" t="s">
        <v>3192</v>
      </c>
      <c r="C3107" s="3" t="s">
        <v>3233</v>
      </c>
      <c r="D3107" s="4" t="str">
        <f t="shared" si="97"/>
        <v>12Go Link</v>
      </c>
      <c r="E3107" s="3" t="s">
        <v>3197</v>
      </c>
      <c r="K3107" s="5"/>
    </row>
    <row r="3108">
      <c r="A3108" s="3" t="s">
        <v>3192</v>
      </c>
      <c r="B3108" s="3" t="s">
        <v>3192</v>
      </c>
      <c r="C3108" s="3" t="s">
        <v>3234</v>
      </c>
      <c r="D3108" s="4" t="str">
        <f t="shared" ref="D3108:D3111" si="98">HYPERLINK("https://12go.asia/en/travel/6th-of-October-City-Transfer/Cairo-International-Airport", "12Go Link")</f>
        <v>12Go Link</v>
      </c>
      <c r="E3108" s="3" t="s">
        <v>3194</v>
      </c>
      <c r="K3108" s="5"/>
    </row>
    <row r="3109">
      <c r="A3109" s="3" t="s">
        <v>3192</v>
      </c>
      <c r="B3109" s="3" t="s">
        <v>3192</v>
      </c>
      <c r="C3109" s="3" t="s">
        <v>3234</v>
      </c>
      <c r="D3109" s="4" t="str">
        <f t="shared" si="98"/>
        <v>12Go Link</v>
      </c>
      <c r="E3109" s="3" t="s">
        <v>3195</v>
      </c>
      <c r="K3109" s="5"/>
    </row>
    <row r="3110">
      <c r="A3110" s="3" t="s">
        <v>3192</v>
      </c>
      <c r="B3110" s="3" t="s">
        <v>3192</v>
      </c>
      <c r="C3110" s="3" t="s">
        <v>3234</v>
      </c>
      <c r="D3110" s="4" t="str">
        <f t="shared" si="98"/>
        <v>12Go Link</v>
      </c>
      <c r="E3110" s="3" t="s">
        <v>3196</v>
      </c>
      <c r="K3110" s="5"/>
    </row>
    <row r="3111">
      <c r="A3111" s="3" t="s">
        <v>3192</v>
      </c>
      <c r="B3111" s="3" t="s">
        <v>3192</v>
      </c>
      <c r="C3111" s="3" t="s">
        <v>3234</v>
      </c>
      <c r="D3111" s="4" t="str">
        <f t="shared" si="98"/>
        <v>12Go Link</v>
      </c>
      <c r="E3111" s="3" t="s">
        <v>3197</v>
      </c>
      <c r="K3111" s="5"/>
    </row>
    <row r="3112">
      <c r="A3112" s="3" t="s">
        <v>3192</v>
      </c>
      <c r="B3112" s="3" t="s">
        <v>3192</v>
      </c>
      <c r="C3112" s="3" t="s">
        <v>3235</v>
      </c>
      <c r="D3112" s="4" t="str">
        <f t="shared" ref="D3112:D3115" si="99">HYPERLINK("https://12go.asia/en/travel/Ain-Shams-Hotel-Transfer/Cairo-Hotel-Transfer", "12Go Link")</f>
        <v>12Go Link</v>
      </c>
      <c r="E3112" s="3" t="s">
        <v>3194</v>
      </c>
      <c r="K3112" s="5"/>
    </row>
    <row r="3113">
      <c r="A3113" s="3" t="s">
        <v>3192</v>
      </c>
      <c r="B3113" s="3" t="s">
        <v>3192</v>
      </c>
      <c r="C3113" s="3" t="s">
        <v>3235</v>
      </c>
      <c r="D3113" s="4" t="str">
        <f t="shared" si="99"/>
        <v>12Go Link</v>
      </c>
      <c r="E3113" s="3" t="s">
        <v>3195</v>
      </c>
      <c r="K3113" s="5"/>
    </row>
    <row r="3114">
      <c r="A3114" s="3" t="s">
        <v>3192</v>
      </c>
      <c r="B3114" s="3" t="s">
        <v>3192</v>
      </c>
      <c r="C3114" s="3" t="s">
        <v>3235</v>
      </c>
      <c r="D3114" s="4" t="str">
        <f t="shared" si="99"/>
        <v>12Go Link</v>
      </c>
      <c r="E3114" s="3" t="s">
        <v>3196</v>
      </c>
      <c r="K3114" s="5"/>
    </row>
    <row r="3115">
      <c r="A3115" s="3" t="s">
        <v>3192</v>
      </c>
      <c r="B3115" s="3" t="s">
        <v>3192</v>
      </c>
      <c r="C3115" s="3" t="s">
        <v>3235</v>
      </c>
      <c r="D3115" s="4" t="str">
        <f t="shared" si="99"/>
        <v>12Go Link</v>
      </c>
      <c r="E3115" s="3" t="s">
        <v>3197</v>
      </c>
      <c r="K3115" s="5"/>
    </row>
    <row r="3116">
      <c r="A3116" s="3" t="s">
        <v>3192</v>
      </c>
      <c r="B3116" s="3" t="s">
        <v>3192</v>
      </c>
      <c r="C3116" s="3" t="s">
        <v>3236</v>
      </c>
      <c r="D3116" s="4" t="str">
        <f t="shared" ref="D3116:D3119" si="100">HYPERLINK("https://12go.asia/en/travel/Ain-Shams-Hotel-Transfer/Cairo-International-Airport", "12Go Link")</f>
        <v>12Go Link</v>
      </c>
      <c r="E3116" s="3" t="s">
        <v>3194</v>
      </c>
      <c r="K3116" s="5"/>
    </row>
    <row r="3117">
      <c r="A3117" s="3" t="s">
        <v>3192</v>
      </c>
      <c r="B3117" s="3" t="s">
        <v>3192</v>
      </c>
      <c r="C3117" s="3" t="s">
        <v>3236</v>
      </c>
      <c r="D3117" s="4" t="str">
        <f t="shared" si="100"/>
        <v>12Go Link</v>
      </c>
      <c r="E3117" s="3" t="s">
        <v>3195</v>
      </c>
      <c r="K3117" s="5"/>
    </row>
    <row r="3118">
      <c r="A3118" s="3" t="s">
        <v>3192</v>
      </c>
      <c r="B3118" s="3" t="s">
        <v>3192</v>
      </c>
      <c r="C3118" s="3" t="s">
        <v>3236</v>
      </c>
      <c r="D3118" s="4" t="str">
        <f t="shared" si="100"/>
        <v>12Go Link</v>
      </c>
      <c r="E3118" s="3" t="s">
        <v>3196</v>
      </c>
      <c r="K3118" s="5"/>
    </row>
    <row r="3119">
      <c r="A3119" s="3" t="s">
        <v>3192</v>
      </c>
      <c r="B3119" s="3" t="s">
        <v>3192</v>
      </c>
      <c r="C3119" s="3" t="s">
        <v>3236</v>
      </c>
      <c r="D3119" s="4" t="str">
        <f t="shared" si="100"/>
        <v>12Go Link</v>
      </c>
      <c r="E3119" s="3" t="s">
        <v>3197</v>
      </c>
      <c r="K3119" s="5"/>
    </row>
    <row r="3120">
      <c r="A3120" s="3" t="s">
        <v>3192</v>
      </c>
      <c r="B3120" s="3" t="s">
        <v>3192</v>
      </c>
      <c r="C3120" s="3" t="s">
        <v>3237</v>
      </c>
      <c r="D3120" s="4" t="str">
        <f t="shared" ref="D3120:D3123" si="101">HYPERLINK("https://12go.asia/en/travel/Cairo-Hotel-Transfer/6th-of-October-City-Transfer", "12Go Link")</f>
        <v>12Go Link</v>
      </c>
      <c r="E3120" s="3" t="s">
        <v>3194</v>
      </c>
      <c r="K3120" s="5"/>
    </row>
    <row r="3121">
      <c r="A3121" s="3" t="s">
        <v>3192</v>
      </c>
      <c r="B3121" s="3" t="s">
        <v>3192</v>
      </c>
      <c r="C3121" s="3" t="s">
        <v>3237</v>
      </c>
      <c r="D3121" s="4" t="str">
        <f t="shared" si="101"/>
        <v>12Go Link</v>
      </c>
      <c r="E3121" s="3" t="s">
        <v>3195</v>
      </c>
      <c r="K3121" s="5"/>
    </row>
    <row r="3122">
      <c r="A3122" s="3" t="s">
        <v>3192</v>
      </c>
      <c r="B3122" s="3" t="s">
        <v>3192</v>
      </c>
      <c r="C3122" s="3" t="s">
        <v>3237</v>
      </c>
      <c r="D3122" s="4" t="str">
        <f t="shared" si="101"/>
        <v>12Go Link</v>
      </c>
      <c r="E3122" s="3" t="s">
        <v>3196</v>
      </c>
      <c r="K3122" s="5"/>
    </row>
    <row r="3123">
      <c r="A3123" s="3" t="s">
        <v>3192</v>
      </c>
      <c r="B3123" s="3" t="s">
        <v>3192</v>
      </c>
      <c r="C3123" s="3" t="s">
        <v>3237</v>
      </c>
      <c r="D3123" s="4" t="str">
        <f t="shared" si="101"/>
        <v>12Go Link</v>
      </c>
      <c r="E3123" s="3" t="s">
        <v>3197</v>
      </c>
      <c r="K3123" s="5"/>
    </row>
    <row r="3124">
      <c r="A3124" s="3" t="s">
        <v>3192</v>
      </c>
      <c r="B3124" s="3" t="s">
        <v>3192</v>
      </c>
      <c r="C3124" s="3" t="s">
        <v>3238</v>
      </c>
      <c r="D3124" s="4" t="str">
        <f t="shared" ref="D3124:D3127" si="102">HYPERLINK("https://12go.asia/en/travel/Cairo-Hotel-Transfer/Ain-Shams-Hotel-Transfer", "12Go Link")</f>
        <v>12Go Link</v>
      </c>
      <c r="E3124" s="3" t="s">
        <v>3194</v>
      </c>
      <c r="K3124" s="5"/>
    </row>
    <row r="3125">
      <c r="A3125" s="3" t="s">
        <v>3192</v>
      </c>
      <c r="B3125" s="3" t="s">
        <v>3192</v>
      </c>
      <c r="C3125" s="3" t="s">
        <v>3238</v>
      </c>
      <c r="D3125" s="4" t="str">
        <f t="shared" si="102"/>
        <v>12Go Link</v>
      </c>
      <c r="E3125" s="3" t="s">
        <v>3195</v>
      </c>
      <c r="K3125" s="5"/>
    </row>
    <row r="3126">
      <c r="A3126" s="3" t="s">
        <v>3192</v>
      </c>
      <c r="B3126" s="3" t="s">
        <v>3192</v>
      </c>
      <c r="C3126" s="3" t="s">
        <v>3238</v>
      </c>
      <c r="D3126" s="4" t="str">
        <f t="shared" si="102"/>
        <v>12Go Link</v>
      </c>
      <c r="E3126" s="3" t="s">
        <v>3196</v>
      </c>
      <c r="K3126" s="5"/>
    </row>
    <row r="3127">
      <c r="A3127" s="3" t="s">
        <v>3192</v>
      </c>
      <c r="B3127" s="3" t="s">
        <v>3192</v>
      </c>
      <c r="C3127" s="3" t="s">
        <v>3238</v>
      </c>
      <c r="D3127" s="4" t="str">
        <f t="shared" si="102"/>
        <v>12Go Link</v>
      </c>
      <c r="E3127" s="3" t="s">
        <v>3197</v>
      </c>
      <c r="K3127" s="5"/>
    </row>
    <row r="3128">
      <c r="A3128" s="3" t="s">
        <v>3192</v>
      </c>
      <c r="B3128" s="3" t="s">
        <v>3192</v>
      </c>
      <c r="C3128" s="3" t="s">
        <v>3239</v>
      </c>
      <c r="D3128" s="4" t="str">
        <f t="shared" ref="D3128:D3131" si="103">HYPERLINK("https://12go.asia/en/travel/Cairo-Hotel-Transfer/Cairo-International-Airport", "12Go Link")</f>
        <v>12Go Link</v>
      </c>
      <c r="E3128" s="3" t="s">
        <v>3194</v>
      </c>
      <c r="K3128" s="5"/>
    </row>
    <row r="3129">
      <c r="A3129" s="3" t="s">
        <v>3192</v>
      </c>
      <c r="B3129" s="3" t="s">
        <v>3192</v>
      </c>
      <c r="C3129" s="3" t="s">
        <v>3239</v>
      </c>
      <c r="D3129" s="4" t="str">
        <f t="shared" si="103"/>
        <v>12Go Link</v>
      </c>
      <c r="E3129" s="3" t="s">
        <v>3195</v>
      </c>
      <c r="K3129" s="5"/>
    </row>
    <row r="3130">
      <c r="A3130" s="3" t="s">
        <v>3192</v>
      </c>
      <c r="B3130" s="3" t="s">
        <v>3192</v>
      </c>
      <c r="C3130" s="3" t="s">
        <v>3239</v>
      </c>
      <c r="D3130" s="4" t="str">
        <f t="shared" si="103"/>
        <v>12Go Link</v>
      </c>
      <c r="E3130" s="3" t="s">
        <v>3196</v>
      </c>
      <c r="K3130" s="5"/>
    </row>
    <row r="3131">
      <c r="A3131" s="3" t="s">
        <v>3192</v>
      </c>
      <c r="B3131" s="3" t="s">
        <v>3192</v>
      </c>
      <c r="C3131" s="3" t="s">
        <v>3239</v>
      </c>
      <c r="D3131" s="4" t="str">
        <f t="shared" si="103"/>
        <v>12Go Link</v>
      </c>
      <c r="E3131" s="3" t="s">
        <v>3197</v>
      </c>
      <c r="K3131" s="5"/>
    </row>
    <row r="3132">
      <c r="A3132" s="3" t="s">
        <v>3192</v>
      </c>
      <c r="B3132" s="3" t="s">
        <v>3192</v>
      </c>
      <c r="C3132" s="3" t="s">
        <v>3240</v>
      </c>
      <c r="D3132" s="4" t="str">
        <f t="shared" ref="D3132:D3135" si="104">HYPERLINK("https://12go.asia/en/travel/Cairo-Hotel-Transfer/Heliopolis-Hotel-Transfer", "12Go Link")</f>
        <v>12Go Link</v>
      </c>
      <c r="E3132" s="3" t="s">
        <v>3194</v>
      </c>
      <c r="K3132" s="5"/>
    </row>
    <row r="3133">
      <c r="A3133" s="3" t="s">
        <v>3192</v>
      </c>
      <c r="B3133" s="3" t="s">
        <v>3192</v>
      </c>
      <c r="C3133" s="3" t="s">
        <v>3240</v>
      </c>
      <c r="D3133" s="4" t="str">
        <f t="shared" si="104"/>
        <v>12Go Link</v>
      </c>
      <c r="E3133" s="3" t="s">
        <v>3195</v>
      </c>
      <c r="K3133" s="5"/>
    </row>
    <row r="3134">
      <c r="A3134" s="3" t="s">
        <v>3192</v>
      </c>
      <c r="B3134" s="3" t="s">
        <v>3192</v>
      </c>
      <c r="C3134" s="3" t="s">
        <v>3240</v>
      </c>
      <c r="D3134" s="4" t="str">
        <f t="shared" si="104"/>
        <v>12Go Link</v>
      </c>
      <c r="E3134" s="3" t="s">
        <v>3196</v>
      </c>
      <c r="K3134" s="5"/>
    </row>
    <row r="3135">
      <c r="A3135" s="3" t="s">
        <v>3192</v>
      </c>
      <c r="B3135" s="3" t="s">
        <v>3192</v>
      </c>
      <c r="C3135" s="3" t="s">
        <v>3240</v>
      </c>
      <c r="D3135" s="4" t="str">
        <f t="shared" si="104"/>
        <v>12Go Link</v>
      </c>
      <c r="E3135" s="3" t="s">
        <v>3197</v>
      </c>
      <c r="K3135" s="5"/>
    </row>
    <row r="3136">
      <c r="A3136" s="3" t="s">
        <v>3192</v>
      </c>
      <c r="B3136" s="3" t="s">
        <v>3192</v>
      </c>
      <c r="C3136" s="3" t="s">
        <v>3241</v>
      </c>
      <c r="D3136" s="4" t="str">
        <f t="shared" ref="D3136:D3139" si="105">HYPERLINK("https://12go.asia/en/travel/Cairo-Hotel-Transfer/New-Administrative-Capital-Transfer", "12Go Link")</f>
        <v>12Go Link</v>
      </c>
      <c r="E3136" s="3" t="s">
        <v>3194</v>
      </c>
      <c r="K3136" s="5"/>
    </row>
    <row r="3137">
      <c r="A3137" s="3" t="s">
        <v>3192</v>
      </c>
      <c r="B3137" s="3" t="s">
        <v>3192</v>
      </c>
      <c r="C3137" s="3" t="s">
        <v>3241</v>
      </c>
      <c r="D3137" s="4" t="str">
        <f t="shared" si="105"/>
        <v>12Go Link</v>
      </c>
      <c r="E3137" s="3" t="s">
        <v>3195</v>
      </c>
      <c r="K3137" s="5"/>
    </row>
    <row r="3138">
      <c r="A3138" s="3" t="s">
        <v>3192</v>
      </c>
      <c r="B3138" s="3" t="s">
        <v>3192</v>
      </c>
      <c r="C3138" s="3" t="s">
        <v>3241</v>
      </c>
      <c r="D3138" s="4" t="str">
        <f t="shared" si="105"/>
        <v>12Go Link</v>
      </c>
      <c r="E3138" s="3" t="s">
        <v>3196</v>
      </c>
      <c r="K3138" s="5"/>
    </row>
    <row r="3139">
      <c r="A3139" s="3" t="s">
        <v>3192</v>
      </c>
      <c r="B3139" s="3" t="s">
        <v>3192</v>
      </c>
      <c r="C3139" s="3" t="s">
        <v>3241</v>
      </c>
      <c r="D3139" s="4" t="str">
        <f t="shared" si="105"/>
        <v>12Go Link</v>
      </c>
      <c r="E3139" s="3" t="s">
        <v>3197</v>
      </c>
      <c r="K3139" s="5"/>
    </row>
    <row r="3140">
      <c r="A3140" s="3" t="s">
        <v>3192</v>
      </c>
      <c r="B3140" s="3" t="s">
        <v>3192</v>
      </c>
      <c r="C3140" s="3" t="s">
        <v>3242</v>
      </c>
      <c r="D3140" s="4" t="str">
        <f t="shared" ref="D3140:D3143" si="106">HYPERLINK("https://12go.asia/en/travel/Cairo-International-Airport/6th-of-October-City-Transfer", "12Go Link")</f>
        <v>12Go Link</v>
      </c>
      <c r="E3140" s="3" t="s">
        <v>3194</v>
      </c>
      <c r="K3140" s="5"/>
    </row>
    <row r="3141">
      <c r="A3141" s="3" t="s">
        <v>3192</v>
      </c>
      <c r="B3141" s="3" t="s">
        <v>3192</v>
      </c>
      <c r="C3141" s="3" t="s">
        <v>3242</v>
      </c>
      <c r="D3141" s="4" t="str">
        <f t="shared" si="106"/>
        <v>12Go Link</v>
      </c>
      <c r="E3141" s="3" t="s">
        <v>3195</v>
      </c>
      <c r="K3141" s="5"/>
    </row>
    <row r="3142">
      <c r="A3142" s="3" t="s">
        <v>3192</v>
      </c>
      <c r="B3142" s="3" t="s">
        <v>3192</v>
      </c>
      <c r="C3142" s="3" t="s">
        <v>3242</v>
      </c>
      <c r="D3142" s="4" t="str">
        <f t="shared" si="106"/>
        <v>12Go Link</v>
      </c>
      <c r="E3142" s="3" t="s">
        <v>3196</v>
      </c>
      <c r="K3142" s="5"/>
    </row>
    <row r="3143">
      <c r="A3143" s="3" t="s">
        <v>3192</v>
      </c>
      <c r="B3143" s="3" t="s">
        <v>3192</v>
      </c>
      <c r="C3143" s="3" t="s">
        <v>3242</v>
      </c>
      <c r="D3143" s="4" t="str">
        <f t="shared" si="106"/>
        <v>12Go Link</v>
      </c>
      <c r="E3143" s="3" t="s">
        <v>3197</v>
      </c>
      <c r="K3143" s="5"/>
    </row>
    <row r="3144">
      <c r="A3144" s="3" t="s">
        <v>3192</v>
      </c>
      <c r="B3144" s="3" t="s">
        <v>3192</v>
      </c>
      <c r="C3144" s="3" t="s">
        <v>3243</v>
      </c>
      <c r="D3144" s="4" t="str">
        <f t="shared" ref="D3144:D3147" si="107">HYPERLINK("https://12go.asia/en/travel/Cairo-International-Airport/Ain-Shams-Hotel-Transfer", "12Go Link")</f>
        <v>12Go Link</v>
      </c>
      <c r="E3144" s="3" t="s">
        <v>3194</v>
      </c>
      <c r="K3144" s="5"/>
    </row>
    <row r="3145">
      <c r="A3145" s="3" t="s">
        <v>3192</v>
      </c>
      <c r="B3145" s="3" t="s">
        <v>3192</v>
      </c>
      <c r="C3145" s="3" t="s">
        <v>3243</v>
      </c>
      <c r="D3145" s="4" t="str">
        <f t="shared" si="107"/>
        <v>12Go Link</v>
      </c>
      <c r="E3145" s="3" t="s">
        <v>3195</v>
      </c>
      <c r="K3145" s="5"/>
    </row>
    <row r="3146">
      <c r="A3146" s="3" t="s">
        <v>3192</v>
      </c>
      <c r="B3146" s="3" t="s">
        <v>3192</v>
      </c>
      <c r="C3146" s="3" t="s">
        <v>3243</v>
      </c>
      <c r="D3146" s="4" t="str">
        <f t="shared" si="107"/>
        <v>12Go Link</v>
      </c>
      <c r="E3146" s="3" t="s">
        <v>3196</v>
      </c>
      <c r="K3146" s="5"/>
    </row>
    <row r="3147">
      <c r="A3147" s="3" t="s">
        <v>3192</v>
      </c>
      <c r="B3147" s="3" t="s">
        <v>3192</v>
      </c>
      <c r="C3147" s="3" t="s">
        <v>3243</v>
      </c>
      <c r="D3147" s="4" t="str">
        <f t="shared" si="107"/>
        <v>12Go Link</v>
      </c>
      <c r="E3147" s="3" t="s">
        <v>3197</v>
      </c>
      <c r="K3147" s="5"/>
    </row>
    <row r="3148">
      <c r="A3148" s="3" t="s">
        <v>3192</v>
      </c>
      <c r="B3148" s="3" t="s">
        <v>3192</v>
      </c>
      <c r="C3148" s="3" t="s">
        <v>3244</v>
      </c>
      <c r="D3148" s="4" t="str">
        <f t="shared" ref="D3148:D3151" si="108">HYPERLINK("https://12go.asia/en/travel/Cairo-International-Airport/Cairo-Hotel-Transfer", "12Go Link")</f>
        <v>12Go Link</v>
      </c>
      <c r="E3148" s="3" t="s">
        <v>3194</v>
      </c>
      <c r="K3148" s="5"/>
    </row>
    <row r="3149">
      <c r="A3149" s="3" t="s">
        <v>3192</v>
      </c>
      <c r="B3149" s="3" t="s">
        <v>3192</v>
      </c>
      <c r="C3149" s="3" t="s">
        <v>3244</v>
      </c>
      <c r="D3149" s="4" t="str">
        <f t="shared" si="108"/>
        <v>12Go Link</v>
      </c>
      <c r="E3149" s="3" t="s">
        <v>3195</v>
      </c>
      <c r="K3149" s="5"/>
    </row>
    <row r="3150">
      <c r="A3150" s="3" t="s">
        <v>3192</v>
      </c>
      <c r="B3150" s="3" t="s">
        <v>3192</v>
      </c>
      <c r="C3150" s="3" t="s">
        <v>3244</v>
      </c>
      <c r="D3150" s="4" t="str">
        <f t="shared" si="108"/>
        <v>12Go Link</v>
      </c>
      <c r="E3150" s="3" t="s">
        <v>3196</v>
      </c>
      <c r="K3150" s="5"/>
    </row>
    <row r="3151">
      <c r="A3151" s="3" t="s">
        <v>3192</v>
      </c>
      <c r="B3151" s="3" t="s">
        <v>3192</v>
      </c>
      <c r="C3151" s="3" t="s">
        <v>3244</v>
      </c>
      <c r="D3151" s="4" t="str">
        <f t="shared" si="108"/>
        <v>12Go Link</v>
      </c>
      <c r="E3151" s="3" t="s">
        <v>3197</v>
      </c>
      <c r="K3151" s="5"/>
    </row>
    <row r="3152">
      <c r="A3152" s="3" t="s">
        <v>3192</v>
      </c>
      <c r="B3152" s="3" t="s">
        <v>3192</v>
      </c>
      <c r="C3152" s="3" t="s">
        <v>3245</v>
      </c>
      <c r="D3152" s="4" t="str">
        <f t="shared" ref="D3152:D3155" si="109">HYPERLINK("https://12go.asia/en/travel/Cairo-International-Airport/Heliopolis-Hotel-Transfer", "12Go Link")</f>
        <v>12Go Link</v>
      </c>
      <c r="E3152" s="3" t="s">
        <v>3194</v>
      </c>
      <c r="K3152" s="5"/>
    </row>
    <row r="3153">
      <c r="A3153" s="3" t="s">
        <v>3192</v>
      </c>
      <c r="B3153" s="3" t="s">
        <v>3192</v>
      </c>
      <c r="C3153" s="3" t="s">
        <v>3245</v>
      </c>
      <c r="D3153" s="4" t="str">
        <f t="shared" si="109"/>
        <v>12Go Link</v>
      </c>
      <c r="E3153" s="3" t="s">
        <v>3195</v>
      </c>
      <c r="K3153" s="5"/>
    </row>
    <row r="3154">
      <c r="A3154" s="3" t="s">
        <v>3192</v>
      </c>
      <c r="B3154" s="3" t="s">
        <v>3192</v>
      </c>
      <c r="C3154" s="3" t="s">
        <v>3245</v>
      </c>
      <c r="D3154" s="4" t="str">
        <f t="shared" si="109"/>
        <v>12Go Link</v>
      </c>
      <c r="E3154" s="3" t="s">
        <v>3196</v>
      </c>
      <c r="K3154" s="5"/>
    </row>
    <row r="3155">
      <c r="A3155" s="3" t="s">
        <v>3192</v>
      </c>
      <c r="B3155" s="3" t="s">
        <v>3192</v>
      </c>
      <c r="C3155" s="3" t="s">
        <v>3245</v>
      </c>
      <c r="D3155" s="4" t="str">
        <f t="shared" si="109"/>
        <v>12Go Link</v>
      </c>
      <c r="E3155" s="3" t="s">
        <v>3197</v>
      </c>
      <c r="K3155" s="5"/>
    </row>
    <row r="3156">
      <c r="A3156" s="3" t="s">
        <v>3192</v>
      </c>
      <c r="B3156" s="3" t="s">
        <v>3192</v>
      </c>
      <c r="C3156" s="3" t="s">
        <v>3246</v>
      </c>
      <c r="D3156" s="4" t="str">
        <f t="shared" ref="D3156:D3159" si="110">HYPERLINK("https://12go.asia/en/travel/Cairo-International-Airport/New-Administrative-Capital-Transfer", "12Go Link")</f>
        <v>12Go Link</v>
      </c>
      <c r="E3156" s="3" t="s">
        <v>3194</v>
      </c>
      <c r="K3156" s="5"/>
    </row>
    <row r="3157">
      <c r="A3157" s="3" t="s">
        <v>3192</v>
      </c>
      <c r="B3157" s="3" t="s">
        <v>3192</v>
      </c>
      <c r="C3157" s="3" t="s">
        <v>3246</v>
      </c>
      <c r="D3157" s="4" t="str">
        <f t="shared" si="110"/>
        <v>12Go Link</v>
      </c>
      <c r="E3157" s="3" t="s">
        <v>3195</v>
      </c>
      <c r="K3157" s="5"/>
    </row>
    <row r="3158">
      <c r="A3158" s="3" t="s">
        <v>3192</v>
      </c>
      <c r="B3158" s="3" t="s">
        <v>3192</v>
      </c>
      <c r="C3158" s="3" t="s">
        <v>3246</v>
      </c>
      <c r="D3158" s="4" t="str">
        <f t="shared" si="110"/>
        <v>12Go Link</v>
      </c>
      <c r="E3158" s="3" t="s">
        <v>3196</v>
      </c>
      <c r="K3158" s="5"/>
    </row>
    <row r="3159">
      <c r="A3159" s="3" t="s">
        <v>3192</v>
      </c>
      <c r="B3159" s="3" t="s">
        <v>3192</v>
      </c>
      <c r="C3159" s="3" t="s">
        <v>3246</v>
      </c>
      <c r="D3159" s="4" t="str">
        <f t="shared" si="110"/>
        <v>12Go Link</v>
      </c>
      <c r="E3159" s="3" t="s">
        <v>3197</v>
      </c>
      <c r="K3159" s="5"/>
    </row>
    <row r="3160">
      <c r="A3160" s="3" t="s">
        <v>3192</v>
      </c>
      <c r="B3160" s="3" t="s">
        <v>3192</v>
      </c>
      <c r="C3160" s="3" t="s">
        <v>3247</v>
      </c>
      <c r="D3160" s="4" t="str">
        <f t="shared" ref="D3160:D3163" si="111">HYPERLINK("https://12go.asia/en/travel/Heliopolis-Hotel-Transfer/Cairo-Hotel-Transfer", "12Go Link")</f>
        <v>12Go Link</v>
      </c>
      <c r="E3160" s="3" t="s">
        <v>3194</v>
      </c>
      <c r="K3160" s="5"/>
    </row>
    <row r="3161">
      <c r="A3161" s="3" t="s">
        <v>3192</v>
      </c>
      <c r="B3161" s="3" t="s">
        <v>3192</v>
      </c>
      <c r="C3161" s="3" t="s">
        <v>3247</v>
      </c>
      <c r="D3161" s="4" t="str">
        <f t="shared" si="111"/>
        <v>12Go Link</v>
      </c>
      <c r="E3161" s="3" t="s">
        <v>3195</v>
      </c>
      <c r="K3161" s="5"/>
    </row>
    <row r="3162">
      <c r="A3162" s="3" t="s">
        <v>3192</v>
      </c>
      <c r="B3162" s="3" t="s">
        <v>3192</v>
      </c>
      <c r="C3162" s="3" t="s">
        <v>3247</v>
      </c>
      <c r="D3162" s="4" t="str">
        <f t="shared" si="111"/>
        <v>12Go Link</v>
      </c>
      <c r="E3162" s="3" t="s">
        <v>3196</v>
      </c>
      <c r="K3162" s="5"/>
    </row>
    <row r="3163">
      <c r="A3163" s="3" t="s">
        <v>3192</v>
      </c>
      <c r="B3163" s="3" t="s">
        <v>3192</v>
      </c>
      <c r="C3163" s="3" t="s">
        <v>3247</v>
      </c>
      <c r="D3163" s="4" t="str">
        <f t="shared" si="111"/>
        <v>12Go Link</v>
      </c>
      <c r="E3163" s="3" t="s">
        <v>3197</v>
      </c>
      <c r="K3163" s="5"/>
    </row>
    <row r="3164">
      <c r="A3164" s="3" t="s">
        <v>3192</v>
      </c>
      <c r="B3164" s="3" t="s">
        <v>3192</v>
      </c>
      <c r="C3164" s="3" t="s">
        <v>3248</v>
      </c>
      <c r="D3164" s="4" t="str">
        <f t="shared" ref="D3164:D3167" si="112">HYPERLINK("https://12go.asia/en/travel/Heliopolis-Hotel-Transfer/Cairo-International-Airport", "12Go Link")</f>
        <v>12Go Link</v>
      </c>
      <c r="E3164" s="3" t="s">
        <v>3194</v>
      </c>
      <c r="K3164" s="5"/>
    </row>
    <row r="3165">
      <c r="A3165" s="3" t="s">
        <v>3192</v>
      </c>
      <c r="B3165" s="3" t="s">
        <v>3192</v>
      </c>
      <c r="C3165" s="3" t="s">
        <v>3248</v>
      </c>
      <c r="D3165" s="4" t="str">
        <f t="shared" si="112"/>
        <v>12Go Link</v>
      </c>
      <c r="E3165" s="3" t="s">
        <v>3195</v>
      </c>
      <c r="K3165" s="5"/>
    </row>
    <row r="3166">
      <c r="A3166" s="3" t="s">
        <v>3192</v>
      </c>
      <c r="B3166" s="3" t="s">
        <v>3192</v>
      </c>
      <c r="C3166" s="3" t="s">
        <v>3248</v>
      </c>
      <c r="D3166" s="4" t="str">
        <f t="shared" si="112"/>
        <v>12Go Link</v>
      </c>
      <c r="E3166" s="3" t="s">
        <v>3196</v>
      </c>
      <c r="K3166" s="5"/>
    </row>
    <row r="3167">
      <c r="A3167" s="3" t="s">
        <v>3192</v>
      </c>
      <c r="B3167" s="3" t="s">
        <v>3192</v>
      </c>
      <c r="C3167" s="3" t="s">
        <v>3248</v>
      </c>
      <c r="D3167" s="4" t="str">
        <f t="shared" si="112"/>
        <v>12Go Link</v>
      </c>
      <c r="E3167" s="3" t="s">
        <v>3197</v>
      </c>
      <c r="K3167" s="5"/>
    </row>
    <row r="3168">
      <c r="A3168" s="3" t="s">
        <v>3192</v>
      </c>
      <c r="B3168" s="3" t="s">
        <v>3192</v>
      </c>
      <c r="C3168" s="3" t="s">
        <v>3249</v>
      </c>
      <c r="D3168" s="4" t="str">
        <f t="shared" ref="D3168:D3171" si="113">HYPERLINK("https://12go.asia/en/travel/New-Administrative-Capital-Transfer/Cairo-Hotel-Transfer", "12Go Link")</f>
        <v>12Go Link</v>
      </c>
      <c r="E3168" s="3" t="s">
        <v>3194</v>
      </c>
      <c r="K3168" s="5"/>
    </row>
    <row r="3169">
      <c r="A3169" s="3" t="s">
        <v>3192</v>
      </c>
      <c r="B3169" s="3" t="s">
        <v>3192</v>
      </c>
      <c r="C3169" s="3" t="s">
        <v>3249</v>
      </c>
      <c r="D3169" s="4" t="str">
        <f t="shared" si="113"/>
        <v>12Go Link</v>
      </c>
      <c r="E3169" s="3" t="s">
        <v>3195</v>
      </c>
      <c r="K3169" s="5"/>
    </row>
    <row r="3170">
      <c r="A3170" s="3" t="s">
        <v>3192</v>
      </c>
      <c r="B3170" s="3" t="s">
        <v>3192</v>
      </c>
      <c r="C3170" s="3" t="s">
        <v>3249</v>
      </c>
      <c r="D3170" s="4" t="str">
        <f t="shared" si="113"/>
        <v>12Go Link</v>
      </c>
      <c r="E3170" s="3" t="s">
        <v>3196</v>
      </c>
      <c r="K3170" s="5"/>
    </row>
    <row r="3171">
      <c r="A3171" s="3" t="s">
        <v>3192</v>
      </c>
      <c r="B3171" s="3" t="s">
        <v>3192</v>
      </c>
      <c r="C3171" s="3" t="s">
        <v>3249</v>
      </c>
      <c r="D3171" s="4" t="str">
        <f t="shared" si="113"/>
        <v>12Go Link</v>
      </c>
      <c r="E3171" s="3" t="s">
        <v>3197</v>
      </c>
      <c r="K3171" s="5"/>
    </row>
    <row r="3172">
      <c r="A3172" s="3" t="s">
        <v>3192</v>
      </c>
      <c r="B3172" s="3" t="s">
        <v>3192</v>
      </c>
      <c r="C3172" s="3" t="s">
        <v>3250</v>
      </c>
      <c r="D3172" s="4" t="str">
        <f t="shared" ref="D3172:D3175" si="114">HYPERLINK("https://12go.asia/en/travel/New-Administrative-Capital-Transfer/Cairo-International-Airport", "12Go Link")</f>
        <v>12Go Link</v>
      </c>
      <c r="E3172" s="3" t="s">
        <v>3194</v>
      </c>
      <c r="K3172" s="5"/>
    </row>
    <row r="3173">
      <c r="A3173" s="3" t="s">
        <v>3192</v>
      </c>
      <c r="B3173" s="3" t="s">
        <v>3192</v>
      </c>
      <c r="C3173" s="3" t="s">
        <v>3250</v>
      </c>
      <c r="D3173" s="4" t="str">
        <f t="shared" si="114"/>
        <v>12Go Link</v>
      </c>
      <c r="E3173" s="3" t="s">
        <v>3195</v>
      </c>
      <c r="K3173" s="5"/>
    </row>
    <row r="3174">
      <c r="A3174" s="3" t="s">
        <v>3192</v>
      </c>
      <c r="B3174" s="3" t="s">
        <v>3192</v>
      </c>
      <c r="C3174" s="3" t="s">
        <v>3250</v>
      </c>
      <c r="D3174" s="4" t="str">
        <f t="shared" si="114"/>
        <v>12Go Link</v>
      </c>
      <c r="E3174" s="3" t="s">
        <v>3196</v>
      </c>
      <c r="K3174" s="5"/>
    </row>
    <row r="3175">
      <c r="A3175" s="3" t="s">
        <v>3192</v>
      </c>
      <c r="B3175" s="3" t="s">
        <v>3192</v>
      </c>
      <c r="C3175" s="3" t="s">
        <v>3250</v>
      </c>
      <c r="D3175" s="4" t="str">
        <f t="shared" si="114"/>
        <v>12Go Link</v>
      </c>
      <c r="E3175" s="3" t="s">
        <v>3197</v>
      </c>
      <c r="K3175" s="5"/>
    </row>
    <row r="3176">
      <c r="A3176" s="3" t="s">
        <v>3192</v>
      </c>
      <c r="B3176" s="3" t="s">
        <v>3251</v>
      </c>
      <c r="C3176" s="3" t="s">
        <v>3252</v>
      </c>
      <c r="D3176" s="4" t="str">
        <f t="shared" ref="D3176:D3179" si="115">HYPERLINK("https://12go.asia/en/travel/Cairo-Hotel-Transfer/El-Alamein-Hotel-Transfer", "12Go Link")</f>
        <v>12Go Link</v>
      </c>
      <c r="E3176" s="3" t="s">
        <v>3194</v>
      </c>
      <c r="K3176" s="5"/>
    </row>
    <row r="3177">
      <c r="A3177" s="3" t="s">
        <v>3192</v>
      </c>
      <c r="B3177" s="3" t="s">
        <v>3251</v>
      </c>
      <c r="C3177" s="3" t="s">
        <v>3252</v>
      </c>
      <c r="D3177" s="4" t="str">
        <f t="shared" si="115"/>
        <v>12Go Link</v>
      </c>
      <c r="E3177" s="3" t="s">
        <v>3195</v>
      </c>
      <c r="K3177" s="5"/>
    </row>
    <row r="3178">
      <c r="A3178" s="3" t="s">
        <v>3192</v>
      </c>
      <c r="B3178" s="3" t="s">
        <v>3251</v>
      </c>
      <c r="C3178" s="3" t="s">
        <v>3252</v>
      </c>
      <c r="D3178" s="4" t="str">
        <f t="shared" si="115"/>
        <v>12Go Link</v>
      </c>
      <c r="E3178" s="3" t="s">
        <v>3196</v>
      </c>
      <c r="K3178" s="5"/>
    </row>
    <row r="3179">
      <c r="A3179" s="3" t="s">
        <v>3192</v>
      </c>
      <c r="B3179" s="3" t="s">
        <v>3251</v>
      </c>
      <c r="C3179" s="3" t="s">
        <v>3252</v>
      </c>
      <c r="D3179" s="4" t="str">
        <f t="shared" si="115"/>
        <v>12Go Link</v>
      </c>
      <c r="E3179" s="3" t="s">
        <v>3197</v>
      </c>
      <c r="K3179" s="5"/>
    </row>
    <row r="3180">
      <c r="A3180" s="3" t="s">
        <v>3192</v>
      </c>
      <c r="B3180" s="3" t="s">
        <v>3251</v>
      </c>
      <c r="C3180" s="3" t="s">
        <v>3253</v>
      </c>
      <c r="D3180" s="4" t="str">
        <f t="shared" ref="D3180:D3183" si="116">HYPERLINK("https://12go.asia/en/travel/Cairo-International-Airport/El-Alamein-Hotel-Transfer", "12Go Link")</f>
        <v>12Go Link</v>
      </c>
      <c r="E3180" s="3" t="s">
        <v>3194</v>
      </c>
      <c r="K3180" s="5"/>
    </row>
    <row r="3181">
      <c r="A3181" s="3" t="s">
        <v>3192</v>
      </c>
      <c r="B3181" s="3" t="s">
        <v>3251</v>
      </c>
      <c r="C3181" s="3" t="s">
        <v>3253</v>
      </c>
      <c r="D3181" s="4" t="str">
        <f t="shared" si="116"/>
        <v>12Go Link</v>
      </c>
      <c r="E3181" s="3" t="s">
        <v>3195</v>
      </c>
      <c r="K3181" s="5"/>
    </row>
    <row r="3182">
      <c r="A3182" s="3" t="s">
        <v>3192</v>
      </c>
      <c r="B3182" s="3" t="s">
        <v>3251</v>
      </c>
      <c r="C3182" s="3" t="s">
        <v>3253</v>
      </c>
      <c r="D3182" s="4" t="str">
        <f t="shared" si="116"/>
        <v>12Go Link</v>
      </c>
      <c r="E3182" s="3" t="s">
        <v>3196</v>
      </c>
      <c r="K3182" s="5"/>
    </row>
    <row r="3183">
      <c r="A3183" s="3" t="s">
        <v>3192</v>
      </c>
      <c r="B3183" s="3" t="s">
        <v>3251</v>
      </c>
      <c r="C3183" s="3" t="s">
        <v>3253</v>
      </c>
      <c r="D3183" s="4" t="str">
        <f t="shared" si="116"/>
        <v>12Go Link</v>
      </c>
      <c r="E3183" s="3" t="s">
        <v>3197</v>
      </c>
      <c r="K3183" s="5"/>
    </row>
    <row r="3184">
      <c r="A3184" s="3" t="s">
        <v>3192</v>
      </c>
      <c r="B3184" s="3" t="s">
        <v>3254</v>
      </c>
      <c r="C3184" s="3" t="s">
        <v>3255</v>
      </c>
      <c r="D3184" s="4" t="str">
        <f t="shared" ref="D3184:D3187" si="117">HYPERLINK("https://12go.asia/en/travel/Cairo-Hotel-Transfer/Faiyum-Hotel-Transfer", "12Go Link")</f>
        <v>12Go Link</v>
      </c>
      <c r="E3184" s="3" t="s">
        <v>3194</v>
      </c>
      <c r="K3184" s="5"/>
    </row>
    <row r="3185">
      <c r="A3185" s="3" t="s">
        <v>3192</v>
      </c>
      <c r="B3185" s="3" t="s">
        <v>3254</v>
      </c>
      <c r="C3185" s="3" t="s">
        <v>3255</v>
      </c>
      <c r="D3185" s="4" t="str">
        <f t="shared" si="117"/>
        <v>12Go Link</v>
      </c>
      <c r="E3185" s="3" t="s">
        <v>3195</v>
      </c>
      <c r="K3185" s="5"/>
    </row>
    <row r="3186">
      <c r="A3186" s="3" t="s">
        <v>3192</v>
      </c>
      <c r="B3186" s="3" t="s">
        <v>3254</v>
      </c>
      <c r="C3186" s="3" t="s">
        <v>3255</v>
      </c>
      <c r="D3186" s="4" t="str">
        <f t="shared" si="117"/>
        <v>12Go Link</v>
      </c>
      <c r="E3186" s="3" t="s">
        <v>3196</v>
      </c>
      <c r="K3186" s="5"/>
    </row>
    <row r="3187">
      <c r="A3187" s="3" t="s">
        <v>3192</v>
      </c>
      <c r="B3187" s="3" t="s">
        <v>3254</v>
      </c>
      <c r="C3187" s="3" t="s">
        <v>3255</v>
      </c>
      <c r="D3187" s="4" t="str">
        <f t="shared" si="117"/>
        <v>12Go Link</v>
      </c>
      <c r="E3187" s="3" t="s">
        <v>3197</v>
      </c>
      <c r="K3187" s="5"/>
    </row>
    <row r="3188">
      <c r="A3188" s="3" t="s">
        <v>3192</v>
      </c>
      <c r="B3188" s="3" t="s">
        <v>3254</v>
      </c>
      <c r="C3188" s="3" t="s">
        <v>3256</v>
      </c>
      <c r="D3188" s="4" t="str">
        <f t="shared" ref="D3188:D3191" si="118">HYPERLINK("https://12go.asia/en/travel/Cairo-International-Airport/Faiyum-Hotel-Transfer", "12Go Link")</f>
        <v>12Go Link</v>
      </c>
      <c r="E3188" s="3" t="s">
        <v>3194</v>
      </c>
      <c r="K3188" s="5"/>
    </row>
    <row r="3189">
      <c r="A3189" s="3" t="s">
        <v>3192</v>
      </c>
      <c r="B3189" s="3" t="s">
        <v>3254</v>
      </c>
      <c r="C3189" s="3" t="s">
        <v>3256</v>
      </c>
      <c r="D3189" s="4" t="str">
        <f t="shared" si="118"/>
        <v>12Go Link</v>
      </c>
      <c r="E3189" s="3" t="s">
        <v>3195</v>
      </c>
      <c r="K3189" s="5"/>
    </row>
    <row r="3190">
      <c r="A3190" s="3" t="s">
        <v>3192</v>
      </c>
      <c r="B3190" s="3" t="s">
        <v>3254</v>
      </c>
      <c r="C3190" s="3" t="s">
        <v>3256</v>
      </c>
      <c r="D3190" s="4" t="str">
        <f t="shared" si="118"/>
        <v>12Go Link</v>
      </c>
      <c r="E3190" s="3" t="s">
        <v>3196</v>
      </c>
      <c r="K3190" s="5"/>
    </row>
    <row r="3191">
      <c r="A3191" s="3" t="s">
        <v>3192</v>
      </c>
      <c r="B3191" s="3" t="s">
        <v>3254</v>
      </c>
      <c r="C3191" s="3" t="s">
        <v>3256</v>
      </c>
      <c r="D3191" s="4" t="str">
        <f t="shared" si="118"/>
        <v>12Go Link</v>
      </c>
      <c r="E3191" s="3" t="s">
        <v>3197</v>
      </c>
      <c r="K3191" s="5"/>
    </row>
    <row r="3192">
      <c r="A3192" s="3" t="s">
        <v>3192</v>
      </c>
      <c r="B3192" s="3" t="s">
        <v>3257</v>
      </c>
      <c r="C3192" s="3" t="s">
        <v>3258</v>
      </c>
      <c r="D3192" s="4" t="str">
        <f t="shared" ref="D3192:D3195" si="119">HYPERLINK("https://12go.asia/en/travel/Cairo-Hotel-Transfer/El-Minya-Hotel-Transfer", "12Go Link")</f>
        <v>12Go Link</v>
      </c>
      <c r="E3192" s="3" t="s">
        <v>3194</v>
      </c>
      <c r="K3192" s="5"/>
    </row>
    <row r="3193">
      <c r="A3193" s="3" t="s">
        <v>3192</v>
      </c>
      <c r="B3193" s="3" t="s">
        <v>3257</v>
      </c>
      <c r="C3193" s="3" t="s">
        <v>3258</v>
      </c>
      <c r="D3193" s="4" t="str">
        <f t="shared" si="119"/>
        <v>12Go Link</v>
      </c>
      <c r="E3193" s="3" t="s">
        <v>3195</v>
      </c>
      <c r="K3193" s="5"/>
    </row>
    <row r="3194">
      <c r="A3194" s="3" t="s">
        <v>3192</v>
      </c>
      <c r="B3194" s="3" t="s">
        <v>3257</v>
      </c>
      <c r="C3194" s="3" t="s">
        <v>3258</v>
      </c>
      <c r="D3194" s="4" t="str">
        <f t="shared" si="119"/>
        <v>12Go Link</v>
      </c>
      <c r="E3194" s="3" t="s">
        <v>3196</v>
      </c>
      <c r="K3194" s="5"/>
    </row>
    <row r="3195">
      <c r="A3195" s="3" t="s">
        <v>3192</v>
      </c>
      <c r="B3195" s="3" t="s">
        <v>3257</v>
      </c>
      <c r="C3195" s="3" t="s">
        <v>3258</v>
      </c>
      <c r="D3195" s="4" t="str">
        <f t="shared" si="119"/>
        <v>12Go Link</v>
      </c>
      <c r="E3195" s="3" t="s">
        <v>3197</v>
      </c>
      <c r="K3195" s="5"/>
    </row>
    <row r="3196">
      <c r="A3196" s="3" t="s">
        <v>3192</v>
      </c>
      <c r="B3196" s="3" t="s">
        <v>3257</v>
      </c>
      <c r="C3196" s="3" t="s">
        <v>3259</v>
      </c>
      <c r="D3196" s="4" t="str">
        <f t="shared" ref="D3196:D3199" si="120">HYPERLINK("https://12go.asia/en/travel/Cairo-International-Airport/El-Minya-Hotel-Transfer", "12Go Link")</f>
        <v>12Go Link</v>
      </c>
      <c r="E3196" s="3" t="s">
        <v>3194</v>
      </c>
      <c r="K3196" s="5"/>
    </row>
    <row r="3197">
      <c r="A3197" s="3" t="s">
        <v>3192</v>
      </c>
      <c r="B3197" s="3" t="s">
        <v>3257</v>
      </c>
      <c r="C3197" s="3" t="s">
        <v>3259</v>
      </c>
      <c r="D3197" s="4" t="str">
        <f t="shared" si="120"/>
        <v>12Go Link</v>
      </c>
      <c r="E3197" s="3" t="s">
        <v>3195</v>
      </c>
      <c r="K3197" s="5"/>
    </row>
    <row r="3198">
      <c r="A3198" s="3" t="s">
        <v>3192</v>
      </c>
      <c r="B3198" s="3" t="s">
        <v>3257</v>
      </c>
      <c r="C3198" s="3" t="s">
        <v>3259</v>
      </c>
      <c r="D3198" s="4" t="str">
        <f t="shared" si="120"/>
        <v>12Go Link</v>
      </c>
      <c r="E3198" s="3" t="s">
        <v>3196</v>
      </c>
      <c r="K3198" s="5"/>
    </row>
    <row r="3199">
      <c r="A3199" s="3" t="s">
        <v>3192</v>
      </c>
      <c r="B3199" s="3" t="s">
        <v>3257</v>
      </c>
      <c r="C3199" s="3" t="s">
        <v>3259</v>
      </c>
      <c r="D3199" s="4" t="str">
        <f t="shared" si="120"/>
        <v>12Go Link</v>
      </c>
      <c r="E3199" s="3" t="s">
        <v>3197</v>
      </c>
      <c r="K3199" s="5"/>
    </row>
    <row r="3200">
      <c r="A3200" s="3" t="s">
        <v>3192</v>
      </c>
      <c r="B3200" s="3" t="s">
        <v>3260</v>
      </c>
      <c r="C3200" s="3" t="s">
        <v>3261</v>
      </c>
      <c r="D3200" s="4" t="str">
        <f t="shared" ref="D3200:D3203" si="121">HYPERLINK("https://12go.asia/en/travel/Cairo-Hotel-Transfer/Giza-Hotel-Transfer", "12Go Link")</f>
        <v>12Go Link</v>
      </c>
      <c r="E3200" s="3" t="s">
        <v>3194</v>
      </c>
      <c r="K3200" s="5"/>
    </row>
    <row r="3201">
      <c r="A3201" s="3" t="s">
        <v>3192</v>
      </c>
      <c r="B3201" s="3" t="s">
        <v>3260</v>
      </c>
      <c r="C3201" s="3" t="s">
        <v>3261</v>
      </c>
      <c r="D3201" s="4" t="str">
        <f t="shared" si="121"/>
        <v>12Go Link</v>
      </c>
      <c r="E3201" s="3" t="s">
        <v>3195</v>
      </c>
      <c r="K3201" s="5"/>
    </row>
    <row r="3202">
      <c r="A3202" s="3" t="s">
        <v>3192</v>
      </c>
      <c r="B3202" s="3" t="s">
        <v>3260</v>
      </c>
      <c r="C3202" s="3" t="s">
        <v>3261</v>
      </c>
      <c r="D3202" s="4" t="str">
        <f t="shared" si="121"/>
        <v>12Go Link</v>
      </c>
      <c r="E3202" s="3" t="s">
        <v>3196</v>
      </c>
      <c r="K3202" s="5"/>
    </row>
    <row r="3203">
      <c r="A3203" s="3" t="s">
        <v>3192</v>
      </c>
      <c r="B3203" s="3" t="s">
        <v>3260</v>
      </c>
      <c r="C3203" s="3" t="s">
        <v>3261</v>
      </c>
      <c r="D3203" s="4" t="str">
        <f t="shared" si="121"/>
        <v>12Go Link</v>
      </c>
      <c r="E3203" s="3" t="s">
        <v>3197</v>
      </c>
      <c r="K3203" s="5"/>
    </row>
    <row r="3204">
      <c r="A3204" s="3" t="s">
        <v>3192</v>
      </c>
      <c r="B3204" s="3" t="s">
        <v>3260</v>
      </c>
      <c r="C3204" s="3" t="s">
        <v>3262</v>
      </c>
      <c r="D3204" s="4" t="str">
        <f t="shared" ref="D3204:D3207" si="122">HYPERLINK("https://12go.asia/en/travel/Cairo-International-Airport/Giza-Hotel-Transfer", "12Go Link")</f>
        <v>12Go Link</v>
      </c>
      <c r="E3204" s="3" t="s">
        <v>3194</v>
      </c>
      <c r="K3204" s="5"/>
    </row>
    <row r="3205">
      <c r="A3205" s="3" t="s">
        <v>3192</v>
      </c>
      <c r="B3205" s="3" t="s">
        <v>3260</v>
      </c>
      <c r="C3205" s="3" t="s">
        <v>3262</v>
      </c>
      <c r="D3205" s="4" t="str">
        <f t="shared" si="122"/>
        <v>12Go Link</v>
      </c>
      <c r="E3205" s="3" t="s">
        <v>3195</v>
      </c>
      <c r="K3205" s="5"/>
    </row>
    <row r="3206">
      <c r="A3206" s="3" t="s">
        <v>3192</v>
      </c>
      <c r="B3206" s="3" t="s">
        <v>3260</v>
      </c>
      <c r="C3206" s="3" t="s">
        <v>3262</v>
      </c>
      <c r="D3206" s="4" t="str">
        <f t="shared" si="122"/>
        <v>12Go Link</v>
      </c>
      <c r="E3206" s="3" t="s">
        <v>3196</v>
      </c>
      <c r="K3206" s="5"/>
    </row>
    <row r="3207">
      <c r="A3207" s="3" t="s">
        <v>3192</v>
      </c>
      <c r="B3207" s="3" t="s">
        <v>3260</v>
      </c>
      <c r="C3207" s="3" t="s">
        <v>3262</v>
      </c>
      <c r="D3207" s="4" t="str">
        <f t="shared" si="122"/>
        <v>12Go Link</v>
      </c>
      <c r="E3207" s="3" t="s">
        <v>3197</v>
      </c>
      <c r="K3207" s="5"/>
    </row>
    <row r="3208">
      <c r="A3208" s="3" t="s">
        <v>3192</v>
      </c>
      <c r="B3208" s="3" t="s">
        <v>3214</v>
      </c>
      <c r="C3208" s="3" t="s">
        <v>3263</v>
      </c>
      <c r="D3208" s="4" t="str">
        <f t="shared" ref="D3208:D3211" si="123">HYPERLINK("https://12go.asia/en/travel/Cairo-Hotel-Transfer/Hurghada-Hotel-Transfer", "12Go Link")</f>
        <v>12Go Link</v>
      </c>
      <c r="E3208" s="3" t="s">
        <v>3194</v>
      </c>
      <c r="K3208" s="5"/>
    </row>
    <row r="3209">
      <c r="A3209" s="3" t="s">
        <v>3192</v>
      </c>
      <c r="B3209" s="3" t="s">
        <v>3214</v>
      </c>
      <c r="C3209" s="3" t="s">
        <v>3263</v>
      </c>
      <c r="D3209" s="4" t="str">
        <f t="shared" si="123"/>
        <v>12Go Link</v>
      </c>
      <c r="E3209" s="3" t="s">
        <v>3195</v>
      </c>
      <c r="K3209" s="5"/>
    </row>
    <row r="3210">
      <c r="A3210" s="3" t="s">
        <v>3192</v>
      </c>
      <c r="B3210" s="3" t="s">
        <v>3214</v>
      </c>
      <c r="C3210" s="3" t="s">
        <v>3263</v>
      </c>
      <c r="D3210" s="4" t="str">
        <f t="shared" si="123"/>
        <v>12Go Link</v>
      </c>
      <c r="E3210" s="3" t="s">
        <v>3196</v>
      </c>
      <c r="K3210" s="5"/>
    </row>
    <row r="3211">
      <c r="A3211" s="3" t="s">
        <v>3192</v>
      </c>
      <c r="B3211" s="3" t="s">
        <v>3214</v>
      </c>
      <c r="C3211" s="3" t="s">
        <v>3263</v>
      </c>
      <c r="D3211" s="4" t="str">
        <f t="shared" si="123"/>
        <v>12Go Link</v>
      </c>
      <c r="E3211" s="3" t="s">
        <v>3197</v>
      </c>
      <c r="K3211" s="5"/>
    </row>
    <row r="3212">
      <c r="A3212" s="3" t="s">
        <v>3192</v>
      </c>
      <c r="B3212" s="3" t="s">
        <v>3214</v>
      </c>
      <c r="C3212" s="3" t="s">
        <v>3264</v>
      </c>
      <c r="D3212" s="4" t="str">
        <f t="shared" ref="D3212:D3213" si="124">HYPERLINK("https://12go.asia/en/travel/Cairo-Hotel-Transfer/Hurghada-Intl-Airport", "12Go Link")</f>
        <v>12Go Link</v>
      </c>
      <c r="E3212" s="3" t="s">
        <v>3265</v>
      </c>
      <c r="K3212" s="5"/>
    </row>
    <row r="3213">
      <c r="A3213" s="3" t="s">
        <v>3192</v>
      </c>
      <c r="B3213" s="3" t="s">
        <v>3214</v>
      </c>
      <c r="C3213" s="3" t="s">
        <v>3264</v>
      </c>
      <c r="D3213" s="4" t="str">
        <f t="shared" si="124"/>
        <v>12Go Link</v>
      </c>
      <c r="E3213" s="3" t="s">
        <v>3196</v>
      </c>
      <c r="K3213" s="5"/>
    </row>
    <row r="3214">
      <c r="A3214" s="3" t="s">
        <v>3192</v>
      </c>
      <c r="B3214" s="3" t="s">
        <v>3214</v>
      </c>
      <c r="C3214" s="3" t="s">
        <v>3266</v>
      </c>
      <c r="D3214" s="4" t="str">
        <f t="shared" ref="D3214:D3217" si="125">HYPERLINK("https://12go.asia/en/travel/Cairo-International-Airport/Hurghada-Hotel-Transfer", "12Go Link")</f>
        <v>12Go Link</v>
      </c>
      <c r="E3214" s="3" t="s">
        <v>3194</v>
      </c>
      <c r="K3214" s="5"/>
    </row>
    <row r="3215">
      <c r="A3215" s="3" t="s">
        <v>3192</v>
      </c>
      <c r="B3215" s="3" t="s">
        <v>3214</v>
      </c>
      <c r="C3215" s="3" t="s">
        <v>3266</v>
      </c>
      <c r="D3215" s="4" t="str">
        <f t="shared" si="125"/>
        <v>12Go Link</v>
      </c>
      <c r="E3215" s="3" t="s">
        <v>3195</v>
      </c>
      <c r="K3215" s="5"/>
    </row>
    <row r="3216">
      <c r="A3216" s="3" t="s">
        <v>3192</v>
      </c>
      <c r="B3216" s="3" t="s">
        <v>3214</v>
      </c>
      <c r="C3216" s="3" t="s">
        <v>3266</v>
      </c>
      <c r="D3216" s="4" t="str">
        <f t="shared" si="125"/>
        <v>12Go Link</v>
      </c>
      <c r="E3216" s="3" t="s">
        <v>3196</v>
      </c>
      <c r="K3216" s="5"/>
    </row>
    <row r="3217">
      <c r="A3217" s="3" t="s">
        <v>3192</v>
      </c>
      <c r="B3217" s="3" t="s">
        <v>3214</v>
      </c>
      <c r="C3217" s="3" t="s">
        <v>3266</v>
      </c>
      <c r="D3217" s="4" t="str">
        <f t="shared" si="125"/>
        <v>12Go Link</v>
      </c>
      <c r="E3217" s="3" t="s">
        <v>3197</v>
      </c>
      <c r="K3217" s="5"/>
    </row>
    <row r="3218">
      <c r="A3218" s="3" t="s">
        <v>3192</v>
      </c>
      <c r="B3218" s="3" t="s">
        <v>3267</v>
      </c>
      <c r="C3218" s="3" t="s">
        <v>3268</v>
      </c>
      <c r="D3218" s="4" t="str">
        <f t="shared" ref="D3218:D3221" si="126">HYPERLINK("https://12go.asia/en/travel/Cairo-Hotel-Transfer/Ismailia-Hotel-Transfer", "12Go Link")</f>
        <v>12Go Link</v>
      </c>
      <c r="E3218" s="3" t="s">
        <v>3194</v>
      </c>
      <c r="K3218" s="5"/>
    </row>
    <row r="3219">
      <c r="A3219" s="3" t="s">
        <v>3192</v>
      </c>
      <c r="B3219" s="3" t="s">
        <v>3267</v>
      </c>
      <c r="C3219" s="3" t="s">
        <v>3268</v>
      </c>
      <c r="D3219" s="4" t="str">
        <f t="shared" si="126"/>
        <v>12Go Link</v>
      </c>
      <c r="E3219" s="3" t="s">
        <v>3195</v>
      </c>
      <c r="K3219" s="5"/>
    </row>
    <row r="3220">
      <c r="A3220" s="3" t="s">
        <v>3192</v>
      </c>
      <c r="B3220" s="3" t="s">
        <v>3267</v>
      </c>
      <c r="C3220" s="3" t="s">
        <v>3268</v>
      </c>
      <c r="D3220" s="4" t="str">
        <f t="shared" si="126"/>
        <v>12Go Link</v>
      </c>
      <c r="E3220" s="3" t="s">
        <v>3196</v>
      </c>
      <c r="K3220" s="5"/>
    </row>
    <row r="3221">
      <c r="A3221" s="3" t="s">
        <v>3192</v>
      </c>
      <c r="B3221" s="3" t="s">
        <v>3267</v>
      </c>
      <c r="C3221" s="3" t="s">
        <v>3268</v>
      </c>
      <c r="D3221" s="4" t="str">
        <f t="shared" si="126"/>
        <v>12Go Link</v>
      </c>
      <c r="E3221" s="3" t="s">
        <v>3197</v>
      </c>
      <c r="K3221" s="5"/>
    </row>
    <row r="3222">
      <c r="A3222" s="3" t="s">
        <v>3192</v>
      </c>
      <c r="B3222" s="3" t="s">
        <v>3267</v>
      </c>
      <c r="C3222" s="3" t="s">
        <v>3269</v>
      </c>
      <c r="D3222" s="4" t="str">
        <f t="shared" ref="D3222:D3225" si="127">HYPERLINK("https://12go.asia/en/travel/Cairo-International-Airport/Ismailia-Hotel-Transfer", "12Go Link")</f>
        <v>12Go Link</v>
      </c>
      <c r="E3222" s="3" t="s">
        <v>3194</v>
      </c>
      <c r="K3222" s="5"/>
    </row>
    <row r="3223">
      <c r="A3223" s="3" t="s">
        <v>3192</v>
      </c>
      <c r="B3223" s="3" t="s">
        <v>3267</v>
      </c>
      <c r="C3223" s="3" t="s">
        <v>3269</v>
      </c>
      <c r="D3223" s="4" t="str">
        <f t="shared" si="127"/>
        <v>12Go Link</v>
      </c>
      <c r="E3223" s="3" t="s">
        <v>3195</v>
      </c>
      <c r="K3223" s="5"/>
    </row>
    <row r="3224">
      <c r="A3224" s="3" t="s">
        <v>3192</v>
      </c>
      <c r="B3224" s="3" t="s">
        <v>3267</v>
      </c>
      <c r="C3224" s="3" t="s">
        <v>3269</v>
      </c>
      <c r="D3224" s="4" t="str">
        <f t="shared" si="127"/>
        <v>12Go Link</v>
      </c>
      <c r="E3224" s="3" t="s">
        <v>3196</v>
      </c>
      <c r="K3224" s="5"/>
    </row>
    <row r="3225">
      <c r="A3225" s="3" t="s">
        <v>3192</v>
      </c>
      <c r="B3225" s="3" t="s">
        <v>3267</v>
      </c>
      <c r="C3225" s="3" t="s">
        <v>3269</v>
      </c>
      <c r="D3225" s="4" t="str">
        <f t="shared" si="127"/>
        <v>12Go Link</v>
      </c>
      <c r="E3225" s="3" t="s">
        <v>3197</v>
      </c>
      <c r="K3225" s="5"/>
    </row>
    <row r="3226">
      <c r="A3226" s="3" t="s">
        <v>3192</v>
      </c>
      <c r="B3226" s="3" t="s">
        <v>3219</v>
      </c>
      <c r="C3226" s="3" t="s">
        <v>3270</v>
      </c>
      <c r="D3226" s="4" t="str">
        <f t="shared" ref="D3226:D3229" si="128">HYPERLINK("https://12go.asia/en/travel/Cairo-Hotel-Transfer/Luxor-Hotel-Transfer", "12Go Link")</f>
        <v>12Go Link</v>
      </c>
      <c r="E3226" s="3" t="s">
        <v>3194</v>
      </c>
      <c r="K3226" s="5"/>
    </row>
    <row r="3227">
      <c r="A3227" s="3" t="s">
        <v>3192</v>
      </c>
      <c r="B3227" s="3" t="s">
        <v>3219</v>
      </c>
      <c r="C3227" s="3" t="s">
        <v>3270</v>
      </c>
      <c r="D3227" s="4" t="str">
        <f t="shared" si="128"/>
        <v>12Go Link</v>
      </c>
      <c r="E3227" s="3" t="s">
        <v>3195</v>
      </c>
      <c r="K3227" s="5"/>
    </row>
    <row r="3228">
      <c r="A3228" s="3" t="s">
        <v>3192</v>
      </c>
      <c r="B3228" s="3" t="s">
        <v>3219</v>
      </c>
      <c r="C3228" s="3" t="s">
        <v>3270</v>
      </c>
      <c r="D3228" s="4" t="str">
        <f t="shared" si="128"/>
        <v>12Go Link</v>
      </c>
      <c r="E3228" s="3" t="s">
        <v>3196</v>
      </c>
      <c r="K3228" s="5"/>
    </row>
    <row r="3229">
      <c r="A3229" s="3" t="s">
        <v>3192</v>
      </c>
      <c r="B3229" s="3" t="s">
        <v>3219</v>
      </c>
      <c r="C3229" s="3" t="s">
        <v>3270</v>
      </c>
      <c r="D3229" s="4" t="str">
        <f t="shared" si="128"/>
        <v>12Go Link</v>
      </c>
      <c r="E3229" s="3" t="s">
        <v>3197</v>
      </c>
      <c r="K3229" s="5"/>
    </row>
    <row r="3230">
      <c r="A3230" s="3" t="s">
        <v>3192</v>
      </c>
      <c r="B3230" s="3" t="s">
        <v>3219</v>
      </c>
      <c r="C3230" s="3" t="s">
        <v>3271</v>
      </c>
      <c r="D3230" s="4" t="str">
        <f t="shared" ref="D3230:D3233" si="129">HYPERLINK("https://12go.asia/en/travel/Cairo-Hotel-Transfer/Luxor-International-Airport", "12Go Link")</f>
        <v>12Go Link</v>
      </c>
      <c r="E3230" s="3" t="s">
        <v>3196</v>
      </c>
      <c r="K3230" s="5"/>
    </row>
    <row r="3231">
      <c r="A3231" s="3" t="s">
        <v>3192</v>
      </c>
      <c r="B3231" s="3" t="s">
        <v>3219</v>
      </c>
      <c r="C3231" s="3" t="s">
        <v>3271</v>
      </c>
      <c r="D3231" s="4" t="str">
        <f t="shared" si="129"/>
        <v>12Go Link</v>
      </c>
      <c r="E3231" s="3" t="s">
        <v>3203</v>
      </c>
      <c r="K3231" s="5"/>
    </row>
    <row r="3232">
      <c r="A3232" s="3" t="s">
        <v>3192</v>
      </c>
      <c r="B3232" s="3" t="s">
        <v>3219</v>
      </c>
      <c r="C3232" s="3" t="s">
        <v>3271</v>
      </c>
      <c r="D3232" s="4" t="str">
        <f t="shared" si="129"/>
        <v>12Go Link</v>
      </c>
      <c r="E3232" s="3" t="s">
        <v>228</v>
      </c>
      <c r="K3232" s="5"/>
    </row>
    <row r="3233">
      <c r="A3233" s="3" t="s">
        <v>3192</v>
      </c>
      <c r="B3233" s="3" t="s">
        <v>3219</v>
      </c>
      <c r="C3233" s="3" t="s">
        <v>3271</v>
      </c>
      <c r="D3233" s="4" t="str">
        <f t="shared" si="129"/>
        <v>12Go Link</v>
      </c>
      <c r="E3233" s="3" t="s">
        <v>3197</v>
      </c>
      <c r="K3233" s="5"/>
    </row>
    <row r="3234">
      <c r="A3234" s="3" t="s">
        <v>3192</v>
      </c>
      <c r="B3234" s="3" t="s">
        <v>3219</v>
      </c>
      <c r="C3234" s="3" t="s">
        <v>3272</v>
      </c>
      <c r="D3234" s="4" t="str">
        <f t="shared" ref="D3234:D3237" si="130">HYPERLINK("https://12go.asia/en/travel/Cairo-International-Airport/Luxor-Hotel-Transfer", "12Go Link")</f>
        <v>12Go Link</v>
      </c>
      <c r="E3234" s="3" t="s">
        <v>3194</v>
      </c>
      <c r="K3234" s="5"/>
    </row>
    <row r="3235">
      <c r="A3235" s="3" t="s">
        <v>3192</v>
      </c>
      <c r="B3235" s="3" t="s">
        <v>3219</v>
      </c>
      <c r="C3235" s="3" t="s">
        <v>3272</v>
      </c>
      <c r="D3235" s="4" t="str">
        <f t="shared" si="130"/>
        <v>12Go Link</v>
      </c>
      <c r="E3235" s="3" t="s">
        <v>3195</v>
      </c>
      <c r="K3235" s="5"/>
    </row>
    <row r="3236">
      <c r="A3236" s="3" t="s">
        <v>3192</v>
      </c>
      <c r="B3236" s="3" t="s">
        <v>3219</v>
      </c>
      <c r="C3236" s="3" t="s">
        <v>3272</v>
      </c>
      <c r="D3236" s="4" t="str">
        <f t="shared" si="130"/>
        <v>12Go Link</v>
      </c>
      <c r="E3236" s="3" t="s">
        <v>3196</v>
      </c>
      <c r="K3236" s="5"/>
    </row>
    <row r="3237">
      <c r="A3237" s="3" t="s">
        <v>3192</v>
      </c>
      <c r="B3237" s="3" t="s">
        <v>3219</v>
      </c>
      <c r="C3237" s="3" t="s">
        <v>3272</v>
      </c>
      <c r="D3237" s="4" t="str">
        <f t="shared" si="130"/>
        <v>12Go Link</v>
      </c>
      <c r="E3237" s="3" t="s">
        <v>3197</v>
      </c>
      <c r="K3237" s="5"/>
    </row>
    <row r="3238">
      <c r="A3238" s="3" t="s">
        <v>3192</v>
      </c>
      <c r="B3238" s="3" t="s">
        <v>3273</v>
      </c>
      <c r="C3238" s="3" t="s">
        <v>3274</v>
      </c>
      <c r="D3238" s="4" t="str">
        <f t="shared" ref="D3238:D3241" si="131">HYPERLINK("https://12go.asia/en/travel/Cairo-Hotel-Transfer/Marsa-Alam-Hotel-Transfer", "12Go Link")</f>
        <v>12Go Link</v>
      </c>
      <c r="E3238" s="3" t="s">
        <v>3194</v>
      </c>
      <c r="K3238" s="5"/>
    </row>
    <row r="3239">
      <c r="A3239" s="3" t="s">
        <v>3192</v>
      </c>
      <c r="B3239" s="3" t="s">
        <v>3273</v>
      </c>
      <c r="C3239" s="3" t="s">
        <v>3274</v>
      </c>
      <c r="D3239" s="4" t="str">
        <f t="shared" si="131"/>
        <v>12Go Link</v>
      </c>
      <c r="E3239" s="3" t="s">
        <v>3195</v>
      </c>
      <c r="K3239" s="5"/>
    </row>
    <row r="3240">
      <c r="A3240" s="3" t="s">
        <v>3192</v>
      </c>
      <c r="B3240" s="3" t="s">
        <v>3273</v>
      </c>
      <c r="C3240" s="3" t="s">
        <v>3274</v>
      </c>
      <c r="D3240" s="4" t="str">
        <f t="shared" si="131"/>
        <v>12Go Link</v>
      </c>
      <c r="E3240" s="3" t="s">
        <v>3196</v>
      </c>
      <c r="K3240" s="5"/>
    </row>
    <row r="3241">
      <c r="A3241" s="3" t="s">
        <v>3192</v>
      </c>
      <c r="B3241" s="3" t="s">
        <v>3273</v>
      </c>
      <c r="C3241" s="3" t="s">
        <v>3274</v>
      </c>
      <c r="D3241" s="4" t="str">
        <f t="shared" si="131"/>
        <v>12Go Link</v>
      </c>
      <c r="E3241" s="3" t="s">
        <v>3197</v>
      </c>
      <c r="K3241" s="5"/>
    </row>
    <row r="3242">
      <c r="A3242" s="3" t="s">
        <v>3192</v>
      </c>
      <c r="B3242" s="3" t="s">
        <v>3273</v>
      </c>
      <c r="C3242" s="3" t="s">
        <v>3275</v>
      </c>
      <c r="D3242" s="4" t="str">
        <f t="shared" ref="D3242:D3245" si="132">HYPERLINK("https://12go.asia/en/travel/Cairo-International-Airport/Marsa-Alam-Hotel-Transfer", "12Go Link")</f>
        <v>12Go Link</v>
      </c>
      <c r="E3242" s="3" t="s">
        <v>3194</v>
      </c>
      <c r="K3242" s="5"/>
    </row>
    <row r="3243">
      <c r="A3243" s="3" t="s">
        <v>3192</v>
      </c>
      <c r="B3243" s="3" t="s">
        <v>3273</v>
      </c>
      <c r="C3243" s="3" t="s">
        <v>3275</v>
      </c>
      <c r="D3243" s="4" t="str">
        <f t="shared" si="132"/>
        <v>12Go Link</v>
      </c>
      <c r="E3243" s="3" t="s">
        <v>3195</v>
      </c>
      <c r="K3243" s="5"/>
    </row>
    <row r="3244">
      <c r="A3244" s="3" t="s">
        <v>3192</v>
      </c>
      <c r="B3244" s="3" t="s">
        <v>3273</v>
      </c>
      <c r="C3244" s="3" t="s">
        <v>3275</v>
      </c>
      <c r="D3244" s="4" t="str">
        <f t="shared" si="132"/>
        <v>12Go Link</v>
      </c>
      <c r="E3244" s="3" t="s">
        <v>3196</v>
      </c>
      <c r="K3244" s="5"/>
    </row>
    <row r="3245">
      <c r="A3245" s="3" t="s">
        <v>3192</v>
      </c>
      <c r="B3245" s="3" t="s">
        <v>3273</v>
      </c>
      <c r="C3245" s="3" t="s">
        <v>3275</v>
      </c>
      <c r="D3245" s="4" t="str">
        <f t="shared" si="132"/>
        <v>12Go Link</v>
      </c>
      <c r="E3245" s="3" t="s">
        <v>3197</v>
      </c>
      <c r="K3245" s="5"/>
    </row>
    <row r="3246">
      <c r="A3246" s="3" t="s">
        <v>3192</v>
      </c>
      <c r="B3246" s="3" t="s">
        <v>3276</v>
      </c>
      <c r="C3246" s="3" t="s">
        <v>3277</v>
      </c>
      <c r="D3246" s="4" t="str">
        <f t="shared" ref="D3246:D3249" si="133">HYPERLINK("https://12go.asia/en/travel/Cairo-Hotel-Transfer/Port-Said-Hotel-Transfer", "12Go Link")</f>
        <v>12Go Link</v>
      </c>
      <c r="E3246" s="3" t="s">
        <v>3194</v>
      </c>
      <c r="K3246" s="5"/>
    </row>
    <row r="3247">
      <c r="A3247" s="3" t="s">
        <v>3192</v>
      </c>
      <c r="B3247" s="3" t="s">
        <v>3276</v>
      </c>
      <c r="C3247" s="3" t="s">
        <v>3277</v>
      </c>
      <c r="D3247" s="4" t="str">
        <f t="shared" si="133"/>
        <v>12Go Link</v>
      </c>
      <c r="E3247" s="3" t="s">
        <v>3195</v>
      </c>
      <c r="K3247" s="5"/>
    </row>
    <row r="3248">
      <c r="A3248" s="3" t="s">
        <v>3192</v>
      </c>
      <c r="B3248" s="3" t="s">
        <v>3276</v>
      </c>
      <c r="C3248" s="3" t="s">
        <v>3277</v>
      </c>
      <c r="D3248" s="4" t="str">
        <f t="shared" si="133"/>
        <v>12Go Link</v>
      </c>
      <c r="E3248" s="3" t="s">
        <v>3196</v>
      </c>
      <c r="K3248" s="5"/>
    </row>
    <row r="3249">
      <c r="A3249" s="3" t="s">
        <v>3192</v>
      </c>
      <c r="B3249" s="3" t="s">
        <v>3276</v>
      </c>
      <c r="C3249" s="3" t="s">
        <v>3277</v>
      </c>
      <c r="D3249" s="4" t="str">
        <f t="shared" si="133"/>
        <v>12Go Link</v>
      </c>
      <c r="E3249" s="3" t="s">
        <v>3197</v>
      </c>
      <c r="K3249" s="5"/>
    </row>
    <row r="3250">
      <c r="A3250" s="3" t="s">
        <v>3192</v>
      </c>
      <c r="B3250" s="3" t="s">
        <v>3276</v>
      </c>
      <c r="C3250" s="3" t="s">
        <v>3278</v>
      </c>
      <c r="D3250" s="4" t="str">
        <f t="shared" ref="D3250:D3253" si="134">HYPERLINK("https://12go.asia/en/travel/Cairo-International-Airport/Port-Said-Hotel-Transfer", "12Go Link")</f>
        <v>12Go Link</v>
      </c>
      <c r="E3250" s="3" t="s">
        <v>3194</v>
      </c>
      <c r="K3250" s="5"/>
    </row>
    <row r="3251">
      <c r="A3251" s="3" t="s">
        <v>3192</v>
      </c>
      <c r="B3251" s="3" t="s">
        <v>3276</v>
      </c>
      <c r="C3251" s="3" t="s">
        <v>3278</v>
      </c>
      <c r="D3251" s="4" t="str">
        <f t="shared" si="134"/>
        <v>12Go Link</v>
      </c>
      <c r="E3251" s="3" t="s">
        <v>3195</v>
      </c>
      <c r="K3251" s="5"/>
    </row>
    <row r="3252">
      <c r="A3252" s="3" t="s">
        <v>3192</v>
      </c>
      <c r="B3252" s="3" t="s">
        <v>3276</v>
      </c>
      <c r="C3252" s="3" t="s">
        <v>3278</v>
      </c>
      <c r="D3252" s="4" t="str">
        <f t="shared" si="134"/>
        <v>12Go Link</v>
      </c>
      <c r="E3252" s="3" t="s">
        <v>3196</v>
      </c>
      <c r="K3252" s="5"/>
    </row>
    <row r="3253">
      <c r="A3253" s="3" t="s">
        <v>3192</v>
      </c>
      <c r="B3253" s="3" t="s">
        <v>3276</v>
      </c>
      <c r="C3253" s="3" t="s">
        <v>3278</v>
      </c>
      <c r="D3253" s="4" t="str">
        <f t="shared" si="134"/>
        <v>12Go Link</v>
      </c>
      <c r="E3253" s="3" t="s">
        <v>3197</v>
      </c>
      <c r="K3253" s="5"/>
    </row>
    <row r="3254">
      <c r="A3254" s="3" t="s">
        <v>3192</v>
      </c>
      <c r="B3254" s="3" t="s">
        <v>3279</v>
      </c>
      <c r="C3254" s="3" t="s">
        <v>3280</v>
      </c>
      <c r="D3254" s="4" t="str">
        <f t="shared" ref="D3254:D3257" si="135">HYPERLINK("https://12go.asia/en/travel/Cairo-Hotel-Transfer/Sharm-El-Sheikh-Hotel-Transfer", "12Go Link")</f>
        <v>12Go Link</v>
      </c>
      <c r="E3254" s="3" t="s">
        <v>3194</v>
      </c>
      <c r="K3254" s="5"/>
    </row>
    <row r="3255">
      <c r="A3255" s="3" t="s">
        <v>3192</v>
      </c>
      <c r="B3255" s="3" t="s">
        <v>3279</v>
      </c>
      <c r="C3255" s="3" t="s">
        <v>3280</v>
      </c>
      <c r="D3255" s="4" t="str">
        <f t="shared" si="135"/>
        <v>12Go Link</v>
      </c>
      <c r="E3255" s="3" t="s">
        <v>3195</v>
      </c>
      <c r="K3255" s="5"/>
    </row>
    <row r="3256">
      <c r="A3256" s="3" t="s">
        <v>3192</v>
      </c>
      <c r="B3256" s="3" t="s">
        <v>3279</v>
      </c>
      <c r="C3256" s="3" t="s">
        <v>3280</v>
      </c>
      <c r="D3256" s="4" t="str">
        <f t="shared" si="135"/>
        <v>12Go Link</v>
      </c>
      <c r="E3256" s="3" t="s">
        <v>3196</v>
      </c>
      <c r="K3256" s="5"/>
    </row>
    <row r="3257">
      <c r="A3257" s="3" t="s">
        <v>3192</v>
      </c>
      <c r="B3257" s="3" t="s">
        <v>3279</v>
      </c>
      <c r="C3257" s="3" t="s">
        <v>3280</v>
      </c>
      <c r="D3257" s="4" t="str">
        <f t="shared" si="135"/>
        <v>12Go Link</v>
      </c>
      <c r="E3257" s="3" t="s">
        <v>3197</v>
      </c>
      <c r="K3257" s="5"/>
    </row>
    <row r="3258">
      <c r="A3258" s="3" t="s">
        <v>3192</v>
      </c>
      <c r="B3258" s="3" t="s">
        <v>3279</v>
      </c>
      <c r="C3258" s="3" t="s">
        <v>3281</v>
      </c>
      <c r="D3258" s="4" t="str">
        <f t="shared" ref="D3258:D3260" si="136">HYPERLINK("https://12go.asia/en/travel/Cairo-Hotel-Transfer/Sharm-El-Sheikh-Intl-Airport", "12Go Link")</f>
        <v>12Go Link</v>
      </c>
      <c r="E3258" s="3" t="s">
        <v>3196</v>
      </c>
      <c r="K3258" s="5"/>
    </row>
    <row r="3259">
      <c r="A3259" s="3" t="s">
        <v>3192</v>
      </c>
      <c r="B3259" s="3" t="s">
        <v>3279</v>
      </c>
      <c r="C3259" s="3" t="s">
        <v>3281</v>
      </c>
      <c r="D3259" s="4" t="str">
        <f t="shared" si="136"/>
        <v>12Go Link</v>
      </c>
      <c r="E3259" s="3" t="s">
        <v>3203</v>
      </c>
      <c r="K3259" s="5"/>
    </row>
    <row r="3260">
      <c r="A3260" s="3" t="s">
        <v>3192</v>
      </c>
      <c r="B3260" s="3" t="s">
        <v>3279</v>
      </c>
      <c r="C3260" s="3" t="s">
        <v>3281</v>
      </c>
      <c r="D3260" s="4" t="str">
        <f t="shared" si="136"/>
        <v>12Go Link</v>
      </c>
      <c r="E3260" s="3" t="s">
        <v>228</v>
      </c>
      <c r="K3260" s="5"/>
    </row>
    <row r="3261">
      <c r="A3261" s="3" t="s">
        <v>3192</v>
      </c>
      <c r="B3261" s="3" t="s">
        <v>3279</v>
      </c>
      <c r="C3261" s="3" t="s">
        <v>3282</v>
      </c>
      <c r="D3261" s="4" t="str">
        <f t="shared" ref="D3261:D3264" si="137">HYPERLINK("https://12go.asia/en/travel/Cairo-International-Airport/Sharm-El-Sheikh-Hotel-Transfer", "12Go Link")</f>
        <v>12Go Link</v>
      </c>
      <c r="E3261" s="3" t="s">
        <v>3194</v>
      </c>
      <c r="K3261" s="5"/>
    </row>
    <row r="3262">
      <c r="A3262" s="3" t="s">
        <v>3192</v>
      </c>
      <c r="B3262" s="3" t="s">
        <v>3279</v>
      </c>
      <c r="C3262" s="3" t="s">
        <v>3282</v>
      </c>
      <c r="D3262" s="4" t="str">
        <f t="shared" si="137"/>
        <v>12Go Link</v>
      </c>
      <c r="E3262" s="3" t="s">
        <v>3195</v>
      </c>
      <c r="K3262" s="5"/>
    </row>
    <row r="3263">
      <c r="A3263" s="3" t="s">
        <v>3192</v>
      </c>
      <c r="B3263" s="3" t="s">
        <v>3279</v>
      </c>
      <c r="C3263" s="3" t="s">
        <v>3282</v>
      </c>
      <c r="D3263" s="4" t="str">
        <f t="shared" si="137"/>
        <v>12Go Link</v>
      </c>
      <c r="E3263" s="3" t="s">
        <v>3196</v>
      </c>
      <c r="K3263" s="5"/>
    </row>
    <row r="3264">
      <c r="A3264" s="3" t="s">
        <v>3192</v>
      </c>
      <c r="B3264" s="3" t="s">
        <v>3279</v>
      </c>
      <c r="C3264" s="3" t="s">
        <v>3282</v>
      </c>
      <c r="D3264" s="4" t="str">
        <f t="shared" si="137"/>
        <v>12Go Link</v>
      </c>
      <c r="E3264" s="3" t="s">
        <v>3197</v>
      </c>
      <c r="K3264" s="5"/>
    </row>
    <row r="3265">
      <c r="A3265" s="3" t="s">
        <v>3192</v>
      </c>
      <c r="B3265" s="3" t="s">
        <v>3283</v>
      </c>
      <c r="C3265" s="3" t="s">
        <v>3284</v>
      </c>
      <c r="D3265" s="4" t="str">
        <f t="shared" ref="D3265:D3268" si="138">HYPERLINK("https://12go.asia/en/travel/Cairo-Hotel-Transfer/Siwa-Hotel-Transfer", "12Go Link")</f>
        <v>12Go Link</v>
      </c>
      <c r="E3265" s="3" t="s">
        <v>3194</v>
      </c>
      <c r="K3265" s="5"/>
    </row>
    <row r="3266">
      <c r="A3266" s="3" t="s">
        <v>3192</v>
      </c>
      <c r="B3266" s="3" t="s">
        <v>3283</v>
      </c>
      <c r="C3266" s="3" t="s">
        <v>3284</v>
      </c>
      <c r="D3266" s="4" t="str">
        <f t="shared" si="138"/>
        <v>12Go Link</v>
      </c>
      <c r="E3266" s="3" t="s">
        <v>3195</v>
      </c>
      <c r="K3266" s="5"/>
    </row>
    <row r="3267">
      <c r="A3267" s="3" t="s">
        <v>3192</v>
      </c>
      <c r="B3267" s="3" t="s">
        <v>3283</v>
      </c>
      <c r="C3267" s="3" t="s">
        <v>3284</v>
      </c>
      <c r="D3267" s="4" t="str">
        <f t="shared" si="138"/>
        <v>12Go Link</v>
      </c>
      <c r="E3267" s="3" t="s">
        <v>3196</v>
      </c>
      <c r="K3267" s="5"/>
    </row>
    <row r="3268">
      <c r="A3268" s="3" t="s">
        <v>3192</v>
      </c>
      <c r="B3268" s="3" t="s">
        <v>3283</v>
      </c>
      <c r="C3268" s="3" t="s">
        <v>3284</v>
      </c>
      <c r="D3268" s="4" t="str">
        <f t="shared" si="138"/>
        <v>12Go Link</v>
      </c>
      <c r="E3268" s="3" t="s">
        <v>3197</v>
      </c>
      <c r="K3268" s="5"/>
    </row>
    <row r="3269">
      <c r="A3269" s="3" t="s">
        <v>3192</v>
      </c>
      <c r="B3269" s="3" t="s">
        <v>3283</v>
      </c>
      <c r="C3269" s="3" t="s">
        <v>3285</v>
      </c>
      <c r="D3269" s="4" t="str">
        <f t="shared" ref="D3269:D3272" si="139">HYPERLINK("https://12go.asia/en/travel/Cairo-International-Airport/Siwa-Hotel-Transfer", "12Go Link")</f>
        <v>12Go Link</v>
      </c>
      <c r="E3269" s="3" t="s">
        <v>3194</v>
      </c>
      <c r="K3269" s="5"/>
    </row>
    <row r="3270">
      <c r="A3270" s="3" t="s">
        <v>3192</v>
      </c>
      <c r="B3270" s="3" t="s">
        <v>3283</v>
      </c>
      <c r="C3270" s="3" t="s">
        <v>3285</v>
      </c>
      <c r="D3270" s="4" t="str">
        <f t="shared" si="139"/>
        <v>12Go Link</v>
      </c>
      <c r="E3270" s="3" t="s">
        <v>3195</v>
      </c>
      <c r="K3270" s="5"/>
    </row>
    <row r="3271">
      <c r="A3271" s="3" t="s">
        <v>3192</v>
      </c>
      <c r="B3271" s="3" t="s">
        <v>3283</v>
      </c>
      <c r="C3271" s="3" t="s">
        <v>3285</v>
      </c>
      <c r="D3271" s="4" t="str">
        <f t="shared" si="139"/>
        <v>12Go Link</v>
      </c>
      <c r="E3271" s="3" t="s">
        <v>3196</v>
      </c>
      <c r="K3271" s="5"/>
    </row>
    <row r="3272">
      <c r="A3272" s="3" t="s">
        <v>3192</v>
      </c>
      <c r="B3272" s="3" t="s">
        <v>3283</v>
      </c>
      <c r="C3272" s="3" t="s">
        <v>3285</v>
      </c>
      <c r="D3272" s="4" t="str">
        <f t="shared" si="139"/>
        <v>12Go Link</v>
      </c>
      <c r="E3272" s="3" t="s">
        <v>3197</v>
      </c>
      <c r="K3272" s="5"/>
    </row>
    <row r="3273">
      <c r="A3273" s="3" t="s">
        <v>3192</v>
      </c>
      <c r="B3273" s="3" t="s">
        <v>3286</v>
      </c>
      <c r="C3273" s="3" t="s">
        <v>3287</v>
      </c>
      <c r="D3273" s="4" t="str">
        <f t="shared" ref="D3273:D3276" si="140">HYPERLINK("https://12go.asia/en/travel/Cairo-Hotel-Transfer/St-Catherine-Hotel-Transfer", "12Go Link")</f>
        <v>12Go Link</v>
      </c>
      <c r="E3273" s="3" t="s">
        <v>3194</v>
      </c>
      <c r="K3273" s="5"/>
    </row>
    <row r="3274">
      <c r="A3274" s="3" t="s">
        <v>3192</v>
      </c>
      <c r="B3274" s="3" t="s">
        <v>3286</v>
      </c>
      <c r="C3274" s="3" t="s">
        <v>3287</v>
      </c>
      <c r="D3274" s="4" t="str">
        <f t="shared" si="140"/>
        <v>12Go Link</v>
      </c>
      <c r="E3274" s="3" t="s">
        <v>3195</v>
      </c>
      <c r="K3274" s="5"/>
    </row>
    <row r="3275">
      <c r="A3275" s="3" t="s">
        <v>3192</v>
      </c>
      <c r="B3275" s="3" t="s">
        <v>3286</v>
      </c>
      <c r="C3275" s="3" t="s">
        <v>3287</v>
      </c>
      <c r="D3275" s="4" t="str">
        <f t="shared" si="140"/>
        <v>12Go Link</v>
      </c>
      <c r="E3275" s="3" t="s">
        <v>3196</v>
      </c>
      <c r="K3275" s="5"/>
    </row>
    <row r="3276">
      <c r="A3276" s="3" t="s">
        <v>3192</v>
      </c>
      <c r="B3276" s="3" t="s">
        <v>3286</v>
      </c>
      <c r="C3276" s="3" t="s">
        <v>3287</v>
      </c>
      <c r="D3276" s="4" t="str">
        <f t="shared" si="140"/>
        <v>12Go Link</v>
      </c>
      <c r="E3276" s="3" t="s">
        <v>3197</v>
      </c>
      <c r="K3276" s="5"/>
    </row>
    <row r="3277">
      <c r="A3277" s="3" t="s">
        <v>3192</v>
      </c>
      <c r="B3277" s="3" t="s">
        <v>3286</v>
      </c>
      <c r="C3277" s="3" t="s">
        <v>3288</v>
      </c>
      <c r="D3277" s="4" t="str">
        <f t="shared" ref="D3277:D3280" si="141">HYPERLINK("https://12go.asia/en/travel/Cairo-International-Airport/St-Catherine-Hotel-Transfer", "12Go Link")</f>
        <v>12Go Link</v>
      </c>
      <c r="E3277" s="3" t="s">
        <v>3194</v>
      </c>
      <c r="K3277" s="5"/>
    </row>
    <row r="3278">
      <c r="A3278" s="3" t="s">
        <v>3192</v>
      </c>
      <c r="B3278" s="3" t="s">
        <v>3286</v>
      </c>
      <c r="C3278" s="3" t="s">
        <v>3288</v>
      </c>
      <c r="D3278" s="4" t="str">
        <f t="shared" si="141"/>
        <v>12Go Link</v>
      </c>
      <c r="E3278" s="3" t="s">
        <v>3195</v>
      </c>
      <c r="K3278" s="5"/>
    </row>
    <row r="3279">
      <c r="A3279" s="3" t="s">
        <v>3192</v>
      </c>
      <c r="B3279" s="3" t="s">
        <v>3286</v>
      </c>
      <c r="C3279" s="3" t="s">
        <v>3288</v>
      </c>
      <c r="D3279" s="4" t="str">
        <f t="shared" si="141"/>
        <v>12Go Link</v>
      </c>
      <c r="E3279" s="3" t="s">
        <v>3196</v>
      </c>
      <c r="K3279" s="5"/>
    </row>
    <row r="3280">
      <c r="A3280" s="3" t="s">
        <v>3192</v>
      </c>
      <c r="B3280" s="3" t="s">
        <v>3286</v>
      </c>
      <c r="C3280" s="3" t="s">
        <v>3288</v>
      </c>
      <c r="D3280" s="4" t="str">
        <f t="shared" si="141"/>
        <v>12Go Link</v>
      </c>
      <c r="E3280" s="3" t="s">
        <v>3197</v>
      </c>
      <c r="K3280" s="5"/>
    </row>
    <row r="3281">
      <c r="A3281" s="3" t="s">
        <v>3192</v>
      </c>
      <c r="B3281" s="3" t="s">
        <v>3289</v>
      </c>
      <c r="C3281" s="3" t="s">
        <v>3290</v>
      </c>
      <c r="D3281" s="4" t="str">
        <f t="shared" ref="D3281:D3284" si="142">HYPERLINK("https://12go.asia/en/travel/Cairo-Hotel-Transfer/Suez-Hotel-Transfer", "12Go Link")</f>
        <v>12Go Link</v>
      </c>
      <c r="E3281" s="3" t="s">
        <v>3194</v>
      </c>
      <c r="K3281" s="5"/>
    </row>
    <row r="3282">
      <c r="A3282" s="3" t="s">
        <v>3192</v>
      </c>
      <c r="B3282" s="3" t="s">
        <v>3289</v>
      </c>
      <c r="C3282" s="3" t="s">
        <v>3290</v>
      </c>
      <c r="D3282" s="4" t="str">
        <f t="shared" si="142"/>
        <v>12Go Link</v>
      </c>
      <c r="E3282" s="3" t="s">
        <v>3195</v>
      </c>
      <c r="K3282" s="5"/>
    </row>
    <row r="3283">
      <c r="A3283" s="3" t="s">
        <v>3192</v>
      </c>
      <c r="B3283" s="3" t="s">
        <v>3289</v>
      </c>
      <c r="C3283" s="3" t="s">
        <v>3290</v>
      </c>
      <c r="D3283" s="4" t="str">
        <f t="shared" si="142"/>
        <v>12Go Link</v>
      </c>
      <c r="E3283" s="3" t="s">
        <v>3196</v>
      </c>
      <c r="K3283" s="5"/>
    </row>
    <row r="3284">
      <c r="A3284" s="3" t="s">
        <v>3192</v>
      </c>
      <c r="B3284" s="3" t="s">
        <v>3289</v>
      </c>
      <c r="C3284" s="3" t="s">
        <v>3290</v>
      </c>
      <c r="D3284" s="4" t="str">
        <f t="shared" si="142"/>
        <v>12Go Link</v>
      </c>
      <c r="E3284" s="3" t="s">
        <v>3197</v>
      </c>
      <c r="K3284" s="5"/>
    </row>
    <row r="3285">
      <c r="A3285" s="3" t="s">
        <v>3192</v>
      </c>
      <c r="B3285" s="3" t="s">
        <v>3289</v>
      </c>
      <c r="C3285" s="3" t="s">
        <v>3291</v>
      </c>
      <c r="D3285" s="4" t="str">
        <f t="shared" ref="D3285:D3288" si="143">HYPERLINK("https://12go.asia/en/travel/Cairo-International-Airport/Suez-Hotel-Transfer", "12Go Link")</f>
        <v>12Go Link</v>
      </c>
      <c r="E3285" s="3" t="s">
        <v>3194</v>
      </c>
      <c r="K3285" s="5"/>
    </row>
    <row r="3286">
      <c r="A3286" s="3" t="s">
        <v>3192</v>
      </c>
      <c r="B3286" s="3" t="s">
        <v>3289</v>
      </c>
      <c r="C3286" s="3" t="s">
        <v>3291</v>
      </c>
      <c r="D3286" s="4" t="str">
        <f t="shared" si="143"/>
        <v>12Go Link</v>
      </c>
      <c r="E3286" s="3" t="s">
        <v>3195</v>
      </c>
      <c r="K3286" s="5"/>
    </row>
    <row r="3287">
      <c r="A3287" s="3" t="s">
        <v>3192</v>
      </c>
      <c r="B3287" s="3" t="s">
        <v>3289</v>
      </c>
      <c r="C3287" s="3" t="s">
        <v>3291</v>
      </c>
      <c r="D3287" s="4" t="str">
        <f t="shared" si="143"/>
        <v>12Go Link</v>
      </c>
      <c r="E3287" s="3" t="s">
        <v>3196</v>
      </c>
      <c r="K3287" s="5"/>
    </row>
    <row r="3288">
      <c r="A3288" s="3" t="s">
        <v>3192</v>
      </c>
      <c r="B3288" s="3" t="s">
        <v>3289</v>
      </c>
      <c r="C3288" s="3" t="s">
        <v>3291</v>
      </c>
      <c r="D3288" s="4" t="str">
        <f t="shared" si="143"/>
        <v>12Go Link</v>
      </c>
      <c r="E3288" s="3" t="s">
        <v>3197</v>
      </c>
      <c r="K3288" s="5"/>
    </row>
    <row r="3289">
      <c r="A3289" s="3" t="s">
        <v>3192</v>
      </c>
      <c r="B3289" s="3" t="s">
        <v>3292</v>
      </c>
      <c r="C3289" s="3" t="s">
        <v>3293</v>
      </c>
      <c r="D3289" s="4" t="str">
        <f t="shared" ref="D3289:D3292" si="144">HYPERLINK("https://12go.asia/en/travel/Cairo-Hotel-Transfer/Taba-Hotel-Transfer", "12Go Link")</f>
        <v>12Go Link</v>
      </c>
      <c r="E3289" s="3" t="s">
        <v>3194</v>
      </c>
      <c r="K3289" s="5"/>
    </row>
    <row r="3290">
      <c r="A3290" s="3" t="s">
        <v>3192</v>
      </c>
      <c r="B3290" s="3" t="s">
        <v>3292</v>
      </c>
      <c r="C3290" s="3" t="s">
        <v>3293</v>
      </c>
      <c r="D3290" s="4" t="str">
        <f t="shared" si="144"/>
        <v>12Go Link</v>
      </c>
      <c r="E3290" s="3" t="s">
        <v>3195</v>
      </c>
      <c r="K3290" s="5"/>
    </row>
    <row r="3291">
      <c r="A3291" s="3" t="s">
        <v>3192</v>
      </c>
      <c r="B3291" s="3" t="s">
        <v>3292</v>
      </c>
      <c r="C3291" s="3" t="s">
        <v>3293</v>
      </c>
      <c r="D3291" s="4" t="str">
        <f t="shared" si="144"/>
        <v>12Go Link</v>
      </c>
      <c r="E3291" s="3" t="s">
        <v>3196</v>
      </c>
      <c r="K3291" s="5"/>
    </row>
    <row r="3292">
      <c r="A3292" s="3" t="s">
        <v>3192</v>
      </c>
      <c r="B3292" s="3" t="s">
        <v>3292</v>
      </c>
      <c r="C3292" s="3" t="s">
        <v>3293</v>
      </c>
      <c r="D3292" s="4" t="str">
        <f t="shared" si="144"/>
        <v>12Go Link</v>
      </c>
      <c r="E3292" s="3" t="s">
        <v>3197</v>
      </c>
      <c r="K3292" s="5"/>
    </row>
    <row r="3293">
      <c r="A3293" s="3" t="s">
        <v>3192</v>
      </c>
      <c r="B3293" s="3" t="s">
        <v>3292</v>
      </c>
      <c r="C3293" s="3" t="s">
        <v>3294</v>
      </c>
      <c r="D3293" s="4" t="str">
        <f t="shared" ref="D3293:D3296" si="145">HYPERLINK("https://12go.asia/en/travel/Cairo-International-Airport/Taba-Hotel-Transfer", "12Go Link")</f>
        <v>12Go Link</v>
      </c>
      <c r="E3293" s="3" t="s">
        <v>3194</v>
      </c>
      <c r="K3293" s="5"/>
    </row>
    <row r="3294">
      <c r="A3294" s="3" t="s">
        <v>3192</v>
      </c>
      <c r="B3294" s="3" t="s">
        <v>3292</v>
      </c>
      <c r="C3294" s="3" t="s">
        <v>3294</v>
      </c>
      <c r="D3294" s="4" t="str">
        <f t="shared" si="145"/>
        <v>12Go Link</v>
      </c>
      <c r="E3294" s="3" t="s">
        <v>3195</v>
      </c>
      <c r="K3294" s="5"/>
    </row>
    <row r="3295">
      <c r="A3295" s="3" t="s">
        <v>3192</v>
      </c>
      <c r="B3295" s="3" t="s">
        <v>3292</v>
      </c>
      <c r="C3295" s="3" t="s">
        <v>3294</v>
      </c>
      <c r="D3295" s="4" t="str">
        <f t="shared" si="145"/>
        <v>12Go Link</v>
      </c>
      <c r="E3295" s="3" t="s">
        <v>3196</v>
      </c>
      <c r="K3295" s="5"/>
    </row>
    <row r="3296">
      <c r="A3296" s="3" t="s">
        <v>3192</v>
      </c>
      <c r="B3296" s="3" t="s">
        <v>3292</v>
      </c>
      <c r="C3296" s="3" t="s">
        <v>3294</v>
      </c>
      <c r="D3296" s="4" t="str">
        <f t="shared" si="145"/>
        <v>12Go Link</v>
      </c>
      <c r="E3296" s="3" t="s">
        <v>3197</v>
      </c>
      <c r="K3296" s="5"/>
    </row>
    <row r="3297">
      <c r="A3297" s="3" t="s">
        <v>3295</v>
      </c>
      <c r="B3297" s="3" t="s">
        <v>3279</v>
      </c>
      <c r="C3297" s="3" t="s">
        <v>3296</v>
      </c>
      <c r="D3297" s="4" t="str">
        <f t="shared" ref="D3297:D3300" si="146">HYPERLINK("https://12go.asia/en/travel/Dahab-Hotel-Transfer/Sharm-El-Sheikh-Intl-Airport", "12Go Link")</f>
        <v>12Go Link</v>
      </c>
      <c r="E3297" s="3" t="s">
        <v>3196</v>
      </c>
      <c r="K3297" s="5"/>
    </row>
    <row r="3298">
      <c r="A3298" s="3" t="s">
        <v>3295</v>
      </c>
      <c r="B3298" s="3" t="s">
        <v>3279</v>
      </c>
      <c r="C3298" s="3" t="s">
        <v>3296</v>
      </c>
      <c r="D3298" s="4" t="str">
        <f t="shared" si="146"/>
        <v>12Go Link</v>
      </c>
      <c r="E3298" s="3" t="s">
        <v>3203</v>
      </c>
      <c r="K3298" s="5"/>
    </row>
    <row r="3299">
      <c r="A3299" s="3" t="s">
        <v>3295</v>
      </c>
      <c r="B3299" s="3" t="s">
        <v>3279</v>
      </c>
      <c r="C3299" s="3" t="s">
        <v>3296</v>
      </c>
      <c r="D3299" s="4" t="str">
        <f t="shared" si="146"/>
        <v>12Go Link</v>
      </c>
      <c r="E3299" s="3" t="s">
        <v>228</v>
      </c>
      <c r="K3299" s="5"/>
    </row>
    <row r="3300">
      <c r="A3300" s="3" t="s">
        <v>3295</v>
      </c>
      <c r="B3300" s="3" t="s">
        <v>3279</v>
      </c>
      <c r="C3300" s="3" t="s">
        <v>3296</v>
      </c>
      <c r="D3300" s="4" t="str">
        <f t="shared" si="146"/>
        <v>12Go Link</v>
      </c>
      <c r="E3300" s="3" t="s">
        <v>3197</v>
      </c>
      <c r="K3300" s="5"/>
    </row>
    <row r="3301">
      <c r="A3301" s="3" t="s">
        <v>3212</v>
      </c>
      <c r="B3301" s="3" t="s">
        <v>3209</v>
      </c>
      <c r="C3301" s="3" t="s">
        <v>3297</v>
      </c>
      <c r="D3301" s="4" t="str">
        <f t="shared" ref="D3301:D3304" si="147">HYPERLINK("https://12go.asia/en/travel/Edfu-Hotel-Transfer/Aswan-Airport", "12Go Link")</f>
        <v>12Go Link</v>
      </c>
      <c r="E3301" s="3" t="s">
        <v>3196</v>
      </c>
      <c r="K3301" s="5"/>
    </row>
    <row r="3302">
      <c r="A3302" s="3" t="s">
        <v>3212</v>
      </c>
      <c r="B3302" s="3" t="s">
        <v>3209</v>
      </c>
      <c r="C3302" s="3" t="s">
        <v>3297</v>
      </c>
      <c r="D3302" s="4" t="str">
        <f t="shared" si="147"/>
        <v>12Go Link</v>
      </c>
      <c r="E3302" s="3" t="s">
        <v>3203</v>
      </c>
      <c r="K3302" s="5"/>
    </row>
    <row r="3303">
      <c r="A3303" s="3" t="s">
        <v>3212</v>
      </c>
      <c r="B3303" s="3" t="s">
        <v>3209</v>
      </c>
      <c r="C3303" s="3" t="s">
        <v>3297</v>
      </c>
      <c r="D3303" s="4" t="str">
        <f t="shared" si="147"/>
        <v>12Go Link</v>
      </c>
      <c r="E3303" s="3" t="s">
        <v>228</v>
      </c>
      <c r="K3303" s="5"/>
    </row>
    <row r="3304">
      <c r="A3304" s="3" t="s">
        <v>3212</v>
      </c>
      <c r="B3304" s="3" t="s">
        <v>3209</v>
      </c>
      <c r="C3304" s="3" t="s">
        <v>3297</v>
      </c>
      <c r="D3304" s="4" t="str">
        <f t="shared" si="147"/>
        <v>12Go Link</v>
      </c>
      <c r="E3304" s="3" t="s">
        <v>3197</v>
      </c>
      <c r="K3304" s="5"/>
    </row>
    <row r="3305">
      <c r="A3305" s="3" t="s">
        <v>3212</v>
      </c>
      <c r="B3305" s="3" t="s">
        <v>3219</v>
      </c>
      <c r="C3305" s="3" t="s">
        <v>3298</v>
      </c>
      <c r="D3305" s="4" t="str">
        <f t="shared" ref="D3305:D3306" si="148">HYPERLINK("https://12go.asia/en/travel/Edfu-Hotel-Transfer/Luxor-International-Airport", "12Go Link")</f>
        <v>12Go Link</v>
      </c>
      <c r="E3305" s="3" t="s">
        <v>228</v>
      </c>
      <c r="K3305" s="5"/>
    </row>
    <row r="3306">
      <c r="A3306" s="3" t="s">
        <v>3212</v>
      </c>
      <c r="B3306" s="3" t="s">
        <v>3219</v>
      </c>
      <c r="C3306" s="3" t="s">
        <v>3298</v>
      </c>
      <c r="D3306" s="4" t="str">
        <f t="shared" si="148"/>
        <v>12Go Link</v>
      </c>
      <c r="E3306" s="3" t="s">
        <v>3197</v>
      </c>
      <c r="K3306" s="5"/>
    </row>
    <row r="3307">
      <c r="A3307" s="3" t="s">
        <v>3251</v>
      </c>
      <c r="B3307" s="3" t="s">
        <v>3192</v>
      </c>
      <c r="C3307" s="3" t="s">
        <v>3299</v>
      </c>
      <c r="D3307" s="4" t="str">
        <f t="shared" ref="D3307:D3310" si="149">HYPERLINK("https://12go.asia/en/travel/El-Alamein-Hotel-Transfer/Cairo-Hotel-Transfer", "12Go Link")</f>
        <v>12Go Link</v>
      </c>
      <c r="E3307" s="3" t="s">
        <v>3194</v>
      </c>
      <c r="K3307" s="5"/>
    </row>
    <row r="3308">
      <c r="A3308" s="3" t="s">
        <v>3251</v>
      </c>
      <c r="B3308" s="3" t="s">
        <v>3192</v>
      </c>
      <c r="C3308" s="3" t="s">
        <v>3299</v>
      </c>
      <c r="D3308" s="4" t="str">
        <f t="shared" si="149"/>
        <v>12Go Link</v>
      </c>
      <c r="E3308" s="3" t="s">
        <v>3195</v>
      </c>
      <c r="K3308" s="5"/>
    </row>
    <row r="3309">
      <c r="A3309" s="3" t="s">
        <v>3251</v>
      </c>
      <c r="B3309" s="3" t="s">
        <v>3192</v>
      </c>
      <c r="C3309" s="3" t="s">
        <v>3299</v>
      </c>
      <c r="D3309" s="4" t="str">
        <f t="shared" si="149"/>
        <v>12Go Link</v>
      </c>
      <c r="E3309" s="3" t="s">
        <v>3196</v>
      </c>
      <c r="K3309" s="5"/>
    </row>
    <row r="3310">
      <c r="A3310" s="3" t="s">
        <v>3251</v>
      </c>
      <c r="B3310" s="3" t="s">
        <v>3192</v>
      </c>
      <c r="C3310" s="3" t="s">
        <v>3299</v>
      </c>
      <c r="D3310" s="4" t="str">
        <f t="shared" si="149"/>
        <v>12Go Link</v>
      </c>
      <c r="E3310" s="3" t="s">
        <v>3197</v>
      </c>
      <c r="K3310" s="5"/>
    </row>
    <row r="3311">
      <c r="A3311" s="3" t="s">
        <v>3251</v>
      </c>
      <c r="B3311" s="3" t="s">
        <v>3192</v>
      </c>
      <c r="C3311" s="3" t="s">
        <v>3300</v>
      </c>
      <c r="D3311" s="4" t="str">
        <f t="shared" ref="D3311:D3314" si="150">HYPERLINK("https://12go.asia/en/travel/El-Alamein-Hotel-Transfer/Cairo-International-Airport", "12Go Link")</f>
        <v>12Go Link</v>
      </c>
      <c r="E3311" s="3" t="s">
        <v>3194</v>
      </c>
      <c r="K3311" s="5"/>
    </row>
    <row r="3312">
      <c r="A3312" s="3" t="s">
        <v>3251</v>
      </c>
      <c r="B3312" s="3" t="s">
        <v>3192</v>
      </c>
      <c r="C3312" s="3" t="s">
        <v>3300</v>
      </c>
      <c r="D3312" s="4" t="str">
        <f t="shared" si="150"/>
        <v>12Go Link</v>
      </c>
      <c r="E3312" s="3" t="s">
        <v>3195</v>
      </c>
      <c r="K3312" s="5"/>
    </row>
    <row r="3313">
      <c r="A3313" s="3" t="s">
        <v>3251</v>
      </c>
      <c r="B3313" s="3" t="s">
        <v>3192</v>
      </c>
      <c r="C3313" s="3" t="s">
        <v>3300</v>
      </c>
      <c r="D3313" s="4" t="str">
        <f t="shared" si="150"/>
        <v>12Go Link</v>
      </c>
      <c r="E3313" s="3" t="s">
        <v>3196</v>
      </c>
      <c r="K3313" s="5"/>
    </row>
    <row r="3314">
      <c r="A3314" s="3" t="s">
        <v>3251</v>
      </c>
      <c r="B3314" s="3" t="s">
        <v>3192</v>
      </c>
      <c r="C3314" s="3" t="s">
        <v>3300</v>
      </c>
      <c r="D3314" s="4" t="str">
        <f t="shared" si="150"/>
        <v>12Go Link</v>
      </c>
      <c r="E3314" s="3" t="s">
        <v>3197</v>
      </c>
      <c r="K3314" s="5"/>
    </row>
    <row r="3315">
      <c r="A3315" s="3" t="s">
        <v>3254</v>
      </c>
      <c r="B3315" s="3" t="s">
        <v>3192</v>
      </c>
      <c r="C3315" s="3" t="s">
        <v>3301</v>
      </c>
      <c r="D3315" s="4" t="str">
        <f t="shared" ref="D3315:D3318" si="151">HYPERLINK("https://12go.asia/en/travel/Faiyum-Hotel-Transfer/Cairo-Hotel-Transfer", "12Go Link")</f>
        <v>12Go Link</v>
      </c>
      <c r="E3315" s="3" t="s">
        <v>3194</v>
      </c>
      <c r="K3315" s="5"/>
    </row>
    <row r="3316">
      <c r="A3316" s="3" t="s">
        <v>3254</v>
      </c>
      <c r="B3316" s="3" t="s">
        <v>3192</v>
      </c>
      <c r="C3316" s="3" t="s">
        <v>3301</v>
      </c>
      <c r="D3316" s="4" t="str">
        <f t="shared" si="151"/>
        <v>12Go Link</v>
      </c>
      <c r="E3316" s="3" t="s">
        <v>3195</v>
      </c>
      <c r="K3316" s="5"/>
    </row>
    <row r="3317">
      <c r="A3317" s="3" t="s">
        <v>3254</v>
      </c>
      <c r="B3317" s="3" t="s">
        <v>3192</v>
      </c>
      <c r="C3317" s="3" t="s">
        <v>3301</v>
      </c>
      <c r="D3317" s="4" t="str">
        <f t="shared" si="151"/>
        <v>12Go Link</v>
      </c>
      <c r="E3317" s="3" t="s">
        <v>3196</v>
      </c>
      <c r="K3317" s="5"/>
    </row>
    <row r="3318">
      <c r="A3318" s="3" t="s">
        <v>3254</v>
      </c>
      <c r="B3318" s="3" t="s">
        <v>3192</v>
      </c>
      <c r="C3318" s="3" t="s">
        <v>3301</v>
      </c>
      <c r="D3318" s="4" t="str">
        <f t="shared" si="151"/>
        <v>12Go Link</v>
      </c>
      <c r="E3318" s="3" t="s">
        <v>3197</v>
      </c>
      <c r="K3318" s="5"/>
    </row>
    <row r="3319">
      <c r="A3319" s="3" t="s">
        <v>3254</v>
      </c>
      <c r="B3319" s="3" t="s">
        <v>3192</v>
      </c>
      <c r="C3319" s="3" t="s">
        <v>3302</v>
      </c>
      <c r="D3319" s="4" t="str">
        <f t="shared" ref="D3319:D3322" si="152">HYPERLINK("https://12go.asia/en/travel/Faiyum-Hotel-Transfer/Cairo-International-Airport", "12Go Link")</f>
        <v>12Go Link</v>
      </c>
      <c r="E3319" s="3" t="s">
        <v>3194</v>
      </c>
      <c r="K3319" s="5"/>
    </row>
    <row r="3320">
      <c r="A3320" s="3" t="s">
        <v>3254</v>
      </c>
      <c r="B3320" s="3" t="s">
        <v>3192</v>
      </c>
      <c r="C3320" s="3" t="s">
        <v>3302</v>
      </c>
      <c r="D3320" s="4" t="str">
        <f t="shared" si="152"/>
        <v>12Go Link</v>
      </c>
      <c r="E3320" s="3" t="s">
        <v>3195</v>
      </c>
      <c r="K3320" s="5"/>
    </row>
    <row r="3321">
      <c r="A3321" s="3" t="s">
        <v>3254</v>
      </c>
      <c r="B3321" s="3" t="s">
        <v>3192</v>
      </c>
      <c r="C3321" s="3" t="s">
        <v>3302</v>
      </c>
      <c r="D3321" s="4" t="str">
        <f t="shared" si="152"/>
        <v>12Go Link</v>
      </c>
      <c r="E3321" s="3" t="s">
        <v>3196</v>
      </c>
      <c r="K3321" s="5"/>
    </row>
    <row r="3322">
      <c r="A3322" s="3" t="s">
        <v>3254</v>
      </c>
      <c r="B3322" s="3" t="s">
        <v>3192</v>
      </c>
      <c r="C3322" s="3" t="s">
        <v>3302</v>
      </c>
      <c r="D3322" s="4" t="str">
        <f t="shared" si="152"/>
        <v>12Go Link</v>
      </c>
      <c r="E3322" s="3" t="s">
        <v>3197</v>
      </c>
      <c r="K3322" s="5"/>
    </row>
    <row r="3323">
      <c r="A3323" s="3" t="s">
        <v>3257</v>
      </c>
      <c r="B3323" s="3" t="s">
        <v>3192</v>
      </c>
      <c r="C3323" s="3" t="s">
        <v>3303</v>
      </c>
      <c r="D3323" s="4" t="str">
        <f t="shared" ref="D3323:D3326" si="153">HYPERLINK("https://12go.asia/en/travel/El-Minya-Hotel-Transfer/Cairo-Hotel-Transfer", "12Go Link")</f>
        <v>12Go Link</v>
      </c>
      <c r="E3323" s="3" t="s">
        <v>3194</v>
      </c>
      <c r="K3323" s="5"/>
    </row>
    <row r="3324">
      <c r="A3324" s="3" t="s">
        <v>3257</v>
      </c>
      <c r="B3324" s="3" t="s">
        <v>3192</v>
      </c>
      <c r="C3324" s="3" t="s">
        <v>3303</v>
      </c>
      <c r="D3324" s="4" t="str">
        <f t="shared" si="153"/>
        <v>12Go Link</v>
      </c>
      <c r="E3324" s="3" t="s">
        <v>3195</v>
      </c>
      <c r="K3324" s="5"/>
    </row>
    <row r="3325">
      <c r="A3325" s="3" t="s">
        <v>3257</v>
      </c>
      <c r="B3325" s="3" t="s">
        <v>3192</v>
      </c>
      <c r="C3325" s="3" t="s">
        <v>3303</v>
      </c>
      <c r="D3325" s="4" t="str">
        <f t="shared" si="153"/>
        <v>12Go Link</v>
      </c>
      <c r="E3325" s="3" t="s">
        <v>3196</v>
      </c>
      <c r="K3325" s="5"/>
    </row>
    <row r="3326">
      <c r="A3326" s="3" t="s">
        <v>3257</v>
      </c>
      <c r="B3326" s="3" t="s">
        <v>3192</v>
      </c>
      <c r="C3326" s="3" t="s">
        <v>3303</v>
      </c>
      <c r="D3326" s="4" t="str">
        <f t="shared" si="153"/>
        <v>12Go Link</v>
      </c>
      <c r="E3326" s="3" t="s">
        <v>3197</v>
      </c>
      <c r="K3326" s="5"/>
    </row>
    <row r="3327">
      <c r="A3327" s="3" t="s">
        <v>3257</v>
      </c>
      <c r="B3327" s="3" t="s">
        <v>3192</v>
      </c>
      <c r="C3327" s="3" t="s">
        <v>3304</v>
      </c>
      <c r="D3327" s="4" t="str">
        <f t="shared" ref="D3327:D3330" si="154">HYPERLINK("https://12go.asia/en/travel/El-Minya-Hotel-Transfer/Cairo-International-Airport", "12Go Link")</f>
        <v>12Go Link</v>
      </c>
      <c r="E3327" s="3" t="s">
        <v>3194</v>
      </c>
      <c r="K3327" s="5"/>
    </row>
    <row r="3328">
      <c r="A3328" s="3" t="s">
        <v>3257</v>
      </c>
      <c r="B3328" s="3" t="s">
        <v>3192</v>
      </c>
      <c r="C3328" s="3" t="s">
        <v>3304</v>
      </c>
      <c r="D3328" s="4" t="str">
        <f t="shared" si="154"/>
        <v>12Go Link</v>
      </c>
      <c r="E3328" s="3" t="s">
        <v>3195</v>
      </c>
      <c r="K3328" s="5"/>
    </row>
    <row r="3329">
      <c r="A3329" s="3" t="s">
        <v>3257</v>
      </c>
      <c r="B3329" s="3" t="s">
        <v>3192</v>
      </c>
      <c r="C3329" s="3" t="s">
        <v>3304</v>
      </c>
      <c r="D3329" s="4" t="str">
        <f t="shared" si="154"/>
        <v>12Go Link</v>
      </c>
      <c r="E3329" s="3" t="s">
        <v>3196</v>
      </c>
      <c r="K3329" s="5"/>
    </row>
    <row r="3330">
      <c r="A3330" s="3" t="s">
        <v>3257</v>
      </c>
      <c r="B3330" s="3" t="s">
        <v>3192</v>
      </c>
      <c r="C3330" s="3" t="s">
        <v>3304</v>
      </c>
      <c r="D3330" s="4" t="str">
        <f t="shared" si="154"/>
        <v>12Go Link</v>
      </c>
      <c r="E3330" s="3" t="s">
        <v>3197</v>
      </c>
      <c r="K3330" s="5"/>
    </row>
    <row r="3331">
      <c r="A3331" s="3" t="s">
        <v>3305</v>
      </c>
      <c r="B3331" s="3" t="s">
        <v>3214</v>
      </c>
      <c r="C3331" s="3" t="s">
        <v>3306</v>
      </c>
      <c r="D3331" s="4" t="str">
        <f t="shared" ref="D3331:D3332" si="155">HYPERLINK("https://12go.asia/en/travel/Akassia-Swiss-Resort/Hurghada-Intl-Airport", "12Go Link")</f>
        <v>12Go Link</v>
      </c>
      <c r="E3331" s="3" t="s">
        <v>3265</v>
      </c>
      <c r="K3331" s="5"/>
    </row>
    <row r="3332">
      <c r="A3332" s="3" t="s">
        <v>3305</v>
      </c>
      <c r="B3332" s="3" t="s">
        <v>3214</v>
      </c>
      <c r="C3332" s="3" t="s">
        <v>3306</v>
      </c>
      <c r="D3332" s="4" t="str">
        <f t="shared" si="155"/>
        <v>12Go Link</v>
      </c>
      <c r="E3332" s="3" t="s">
        <v>3196</v>
      </c>
      <c r="K3332" s="5"/>
    </row>
    <row r="3333">
      <c r="A3333" s="3" t="s">
        <v>3305</v>
      </c>
      <c r="B3333" s="3" t="s">
        <v>3214</v>
      </c>
      <c r="C3333" s="3" t="s">
        <v>3307</v>
      </c>
      <c r="D3333" s="4" t="str">
        <f t="shared" ref="D3333:D3334" si="156">HYPERLINK("https://12go.asia/en/travel/El-Qoseir-Hotel-Transfer/Hurghada-Intl-Airport", "12Go Link")</f>
        <v>12Go Link</v>
      </c>
      <c r="E3333" s="3" t="s">
        <v>3265</v>
      </c>
      <c r="K3333" s="5"/>
    </row>
    <row r="3334">
      <c r="A3334" s="3" t="s">
        <v>3305</v>
      </c>
      <c r="B3334" s="3" t="s">
        <v>3214</v>
      </c>
      <c r="C3334" s="3" t="s">
        <v>3307</v>
      </c>
      <c r="D3334" s="4" t="str">
        <f t="shared" si="156"/>
        <v>12Go Link</v>
      </c>
      <c r="E3334" s="3" t="s">
        <v>3196</v>
      </c>
      <c r="K3334" s="5"/>
    </row>
    <row r="3335">
      <c r="A3335" s="3" t="s">
        <v>3305</v>
      </c>
      <c r="B3335" s="3" t="s">
        <v>3219</v>
      </c>
      <c r="C3335" s="3" t="s">
        <v>3308</v>
      </c>
      <c r="D3335" s="4" t="str">
        <f t="shared" ref="D3335:D3338" si="157">HYPERLINK("https://12go.asia/en/travel/El-Qoseir-Hotel-Transfer/Luxor-International-Airport", "12Go Link")</f>
        <v>12Go Link</v>
      </c>
      <c r="E3335" s="3" t="s">
        <v>3196</v>
      </c>
      <c r="K3335" s="5"/>
    </row>
    <row r="3336">
      <c r="A3336" s="3" t="s">
        <v>3305</v>
      </c>
      <c r="B3336" s="3" t="s">
        <v>3219</v>
      </c>
      <c r="C3336" s="3" t="s">
        <v>3308</v>
      </c>
      <c r="D3336" s="4" t="str">
        <f t="shared" si="157"/>
        <v>12Go Link</v>
      </c>
      <c r="E3336" s="3" t="s">
        <v>3203</v>
      </c>
      <c r="K3336" s="5"/>
    </row>
    <row r="3337">
      <c r="A3337" s="3" t="s">
        <v>3305</v>
      </c>
      <c r="B3337" s="3" t="s">
        <v>3219</v>
      </c>
      <c r="C3337" s="3" t="s">
        <v>3308</v>
      </c>
      <c r="D3337" s="4" t="str">
        <f t="shared" si="157"/>
        <v>12Go Link</v>
      </c>
      <c r="E3337" s="3" t="s">
        <v>228</v>
      </c>
      <c r="K3337" s="5"/>
    </row>
    <row r="3338">
      <c r="A3338" s="3" t="s">
        <v>3305</v>
      </c>
      <c r="B3338" s="3" t="s">
        <v>3219</v>
      </c>
      <c r="C3338" s="3" t="s">
        <v>3308</v>
      </c>
      <c r="D3338" s="4" t="str">
        <f t="shared" si="157"/>
        <v>12Go Link</v>
      </c>
      <c r="E3338" s="3" t="s">
        <v>3197</v>
      </c>
      <c r="K3338" s="5"/>
    </row>
    <row r="3339">
      <c r="A3339" s="3" t="s">
        <v>3305</v>
      </c>
      <c r="B3339" s="3" t="s">
        <v>3273</v>
      </c>
      <c r="C3339" s="3" t="s">
        <v>3309</v>
      </c>
      <c r="D3339" s="4" t="str">
        <f t="shared" ref="D3339:D3342" si="158">HYPERLINK("https://12go.asia/en/travel/Akassia-Swiss-Resort/Marsa-Alam-Airport", "12Go Link")</f>
        <v>12Go Link</v>
      </c>
      <c r="E3339" s="3" t="s">
        <v>3196</v>
      </c>
      <c r="K3339" s="5"/>
    </row>
    <row r="3340">
      <c r="A3340" s="3" t="s">
        <v>3305</v>
      </c>
      <c r="B3340" s="3" t="s">
        <v>3273</v>
      </c>
      <c r="C3340" s="3" t="s">
        <v>3309</v>
      </c>
      <c r="D3340" s="4" t="str">
        <f t="shared" si="158"/>
        <v>12Go Link</v>
      </c>
      <c r="E3340" s="3" t="s">
        <v>3203</v>
      </c>
      <c r="K3340" s="5"/>
    </row>
    <row r="3341">
      <c r="A3341" s="3" t="s">
        <v>3305</v>
      </c>
      <c r="B3341" s="3" t="s">
        <v>3273</v>
      </c>
      <c r="C3341" s="3" t="s">
        <v>3309</v>
      </c>
      <c r="D3341" s="4" t="str">
        <f t="shared" si="158"/>
        <v>12Go Link</v>
      </c>
      <c r="E3341" s="3" t="s">
        <v>228</v>
      </c>
      <c r="K3341" s="5"/>
    </row>
    <row r="3342">
      <c r="A3342" s="3" t="s">
        <v>3305</v>
      </c>
      <c r="B3342" s="3" t="s">
        <v>3273</v>
      </c>
      <c r="C3342" s="3" t="s">
        <v>3309</v>
      </c>
      <c r="D3342" s="4" t="str">
        <f t="shared" si="158"/>
        <v>12Go Link</v>
      </c>
      <c r="E3342" s="3" t="s">
        <v>3197</v>
      </c>
      <c r="K3342" s="5"/>
    </row>
    <row r="3343">
      <c r="A3343" s="3" t="s">
        <v>3305</v>
      </c>
      <c r="B3343" s="3" t="s">
        <v>3273</v>
      </c>
      <c r="C3343" s="3" t="s">
        <v>3310</v>
      </c>
      <c r="D3343" s="4" t="str">
        <f t="shared" ref="D3343:D3346" si="159">HYPERLINK("https://12go.asia/en/travel/El-Qoseir-Hotel-Transfer/Marsa-Alam-Airport", "12Go Link")</f>
        <v>12Go Link</v>
      </c>
      <c r="E3343" s="3" t="s">
        <v>3196</v>
      </c>
      <c r="K3343" s="5"/>
    </row>
    <row r="3344">
      <c r="A3344" s="3" t="s">
        <v>3305</v>
      </c>
      <c r="B3344" s="3" t="s">
        <v>3273</v>
      </c>
      <c r="C3344" s="3" t="s">
        <v>3310</v>
      </c>
      <c r="D3344" s="4" t="str">
        <f t="shared" si="159"/>
        <v>12Go Link</v>
      </c>
      <c r="E3344" s="3" t="s">
        <v>3203</v>
      </c>
      <c r="K3344" s="5"/>
    </row>
    <row r="3345">
      <c r="A3345" s="3" t="s">
        <v>3305</v>
      </c>
      <c r="B3345" s="3" t="s">
        <v>3273</v>
      </c>
      <c r="C3345" s="3" t="s">
        <v>3310</v>
      </c>
      <c r="D3345" s="4" t="str">
        <f t="shared" si="159"/>
        <v>12Go Link</v>
      </c>
      <c r="E3345" s="3" t="s">
        <v>228</v>
      </c>
      <c r="K3345" s="5"/>
    </row>
    <row r="3346">
      <c r="A3346" s="3" t="s">
        <v>3305</v>
      </c>
      <c r="B3346" s="3" t="s">
        <v>3273</v>
      </c>
      <c r="C3346" s="3" t="s">
        <v>3310</v>
      </c>
      <c r="D3346" s="4" t="str">
        <f t="shared" si="159"/>
        <v>12Go Link</v>
      </c>
      <c r="E3346" s="3" t="s">
        <v>3197</v>
      </c>
      <c r="K3346" s="5"/>
    </row>
    <row r="3347">
      <c r="A3347" s="3" t="s">
        <v>3260</v>
      </c>
      <c r="B3347" s="3" t="s">
        <v>3192</v>
      </c>
      <c r="C3347" s="3" t="s">
        <v>3311</v>
      </c>
      <c r="D3347" s="4" t="str">
        <f t="shared" ref="D3347:D3350" si="160">HYPERLINK("https://12go.asia/en/travel/Giza-Hotel-Transfer/Cairo-Hotel-Transfer", "12Go Link")</f>
        <v>12Go Link</v>
      </c>
      <c r="E3347" s="3" t="s">
        <v>3194</v>
      </c>
      <c r="K3347" s="5"/>
    </row>
    <row r="3348">
      <c r="A3348" s="3" t="s">
        <v>3260</v>
      </c>
      <c r="B3348" s="3" t="s">
        <v>3192</v>
      </c>
      <c r="C3348" s="3" t="s">
        <v>3311</v>
      </c>
      <c r="D3348" s="4" t="str">
        <f t="shared" si="160"/>
        <v>12Go Link</v>
      </c>
      <c r="E3348" s="3" t="s">
        <v>3195</v>
      </c>
      <c r="K3348" s="5"/>
    </row>
    <row r="3349">
      <c r="A3349" s="3" t="s">
        <v>3260</v>
      </c>
      <c r="B3349" s="3" t="s">
        <v>3192</v>
      </c>
      <c r="C3349" s="3" t="s">
        <v>3311</v>
      </c>
      <c r="D3349" s="4" t="str">
        <f t="shared" si="160"/>
        <v>12Go Link</v>
      </c>
      <c r="E3349" s="3" t="s">
        <v>3196</v>
      </c>
      <c r="K3349" s="5"/>
    </row>
    <row r="3350">
      <c r="A3350" s="3" t="s">
        <v>3260</v>
      </c>
      <c r="B3350" s="3" t="s">
        <v>3192</v>
      </c>
      <c r="C3350" s="3" t="s">
        <v>3311</v>
      </c>
      <c r="D3350" s="4" t="str">
        <f t="shared" si="160"/>
        <v>12Go Link</v>
      </c>
      <c r="E3350" s="3" t="s">
        <v>3197</v>
      </c>
      <c r="K3350" s="5"/>
    </row>
    <row r="3351">
      <c r="A3351" s="3" t="s">
        <v>3260</v>
      </c>
      <c r="B3351" s="3" t="s">
        <v>3192</v>
      </c>
      <c r="C3351" s="3" t="s">
        <v>3312</v>
      </c>
      <c r="D3351" s="4" t="str">
        <f t="shared" ref="D3351:D3354" si="161">HYPERLINK("https://12go.asia/en/travel/Giza-Hotel-Transfer/Cairo-International-Airport", "12Go Link")</f>
        <v>12Go Link</v>
      </c>
      <c r="E3351" s="3" t="s">
        <v>3194</v>
      </c>
      <c r="K3351" s="5"/>
    </row>
    <row r="3352">
      <c r="A3352" s="3" t="s">
        <v>3260</v>
      </c>
      <c r="B3352" s="3" t="s">
        <v>3192</v>
      </c>
      <c r="C3352" s="3" t="s">
        <v>3312</v>
      </c>
      <c r="D3352" s="4" t="str">
        <f t="shared" si="161"/>
        <v>12Go Link</v>
      </c>
      <c r="E3352" s="3" t="s">
        <v>3195</v>
      </c>
      <c r="K3352" s="5"/>
    </row>
    <row r="3353">
      <c r="A3353" s="3" t="s">
        <v>3260</v>
      </c>
      <c r="B3353" s="3" t="s">
        <v>3192</v>
      </c>
      <c r="C3353" s="3" t="s">
        <v>3312</v>
      </c>
      <c r="D3353" s="4" t="str">
        <f t="shared" si="161"/>
        <v>12Go Link</v>
      </c>
      <c r="E3353" s="3" t="s">
        <v>3196</v>
      </c>
      <c r="K3353" s="5"/>
    </row>
    <row r="3354">
      <c r="A3354" s="3" t="s">
        <v>3260</v>
      </c>
      <c r="B3354" s="3" t="s">
        <v>3192</v>
      </c>
      <c r="C3354" s="3" t="s">
        <v>3312</v>
      </c>
      <c r="D3354" s="4" t="str">
        <f t="shared" si="161"/>
        <v>12Go Link</v>
      </c>
      <c r="E3354" s="3" t="s">
        <v>3197</v>
      </c>
      <c r="K3354" s="5"/>
    </row>
    <row r="3355">
      <c r="A3355" s="3" t="s">
        <v>3214</v>
      </c>
      <c r="B3355" s="3" t="s">
        <v>3209</v>
      </c>
      <c r="C3355" s="3" t="s">
        <v>3313</v>
      </c>
      <c r="D3355" s="4" t="str">
        <f t="shared" ref="D3355:D3358" si="162">HYPERLINK("https://12go.asia/en/travel/El-Gouna-Hotel-Transfer/Aswan-Airport", "12Go Link")</f>
        <v>12Go Link</v>
      </c>
      <c r="E3355" s="3" t="s">
        <v>3196</v>
      </c>
      <c r="K3355" s="5"/>
    </row>
    <row r="3356">
      <c r="A3356" s="3" t="s">
        <v>3214</v>
      </c>
      <c r="B3356" s="3" t="s">
        <v>3209</v>
      </c>
      <c r="C3356" s="3" t="s">
        <v>3313</v>
      </c>
      <c r="D3356" s="4" t="str">
        <f t="shared" si="162"/>
        <v>12Go Link</v>
      </c>
      <c r="E3356" s="3" t="s">
        <v>3203</v>
      </c>
      <c r="K3356" s="5"/>
    </row>
    <row r="3357">
      <c r="A3357" s="3" t="s">
        <v>3214</v>
      </c>
      <c r="B3357" s="3" t="s">
        <v>3209</v>
      </c>
      <c r="C3357" s="3" t="s">
        <v>3313</v>
      </c>
      <c r="D3357" s="4" t="str">
        <f t="shared" si="162"/>
        <v>12Go Link</v>
      </c>
      <c r="E3357" s="3" t="s">
        <v>228</v>
      </c>
      <c r="K3357" s="5"/>
    </row>
    <row r="3358">
      <c r="A3358" s="3" t="s">
        <v>3214</v>
      </c>
      <c r="B3358" s="3" t="s">
        <v>3209</v>
      </c>
      <c r="C3358" s="3" t="s">
        <v>3313</v>
      </c>
      <c r="D3358" s="4" t="str">
        <f t="shared" si="162"/>
        <v>12Go Link</v>
      </c>
      <c r="E3358" s="3" t="s">
        <v>3197</v>
      </c>
      <c r="K3358" s="5"/>
    </row>
    <row r="3359">
      <c r="A3359" s="3" t="s">
        <v>3214</v>
      </c>
      <c r="B3359" s="3" t="s">
        <v>3209</v>
      </c>
      <c r="C3359" s="3" t="s">
        <v>3314</v>
      </c>
      <c r="D3359" s="4" t="str">
        <f t="shared" ref="D3359:D3362" si="163">HYPERLINK("https://12go.asia/en/travel/Hurghada-Hotel-Transfer/Aswan-Airport", "12Go Link")</f>
        <v>12Go Link</v>
      </c>
      <c r="E3359" s="3" t="s">
        <v>3196</v>
      </c>
      <c r="K3359" s="5"/>
    </row>
    <row r="3360">
      <c r="A3360" s="3" t="s">
        <v>3214</v>
      </c>
      <c r="B3360" s="3" t="s">
        <v>3209</v>
      </c>
      <c r="C3360" s="3" t="s">
        <v>3314</v>
      </c>
      <c r="D3360" s="4" t="str">
        <f t="shared" si="163"/>
        <v>12Go Link</v>
      </c>
      <c r="E3360" s="3" t="s">
        <v>3203</v>
      </c>
      <c r="K3360" s="5"/>
    </row>
    <row r="3361">
      <c r="A3361" s="3" t="s">
        <v>3214</v>
      </c>
      <c r="B3361" s="3" t="s">
        <v>3209</v>
      </c>
      <c r="C3361" s="3" t="s">
        <v>3314</v>
      </c>
      <c r="D3361" s="4" t="str">
        <f t="shared" si="163"/>
        <v>12Go Link</v>
      </c>
      <c r="E3361" s="3" t="s">
        <v>228</v>
      </c>
      <c r="K3361" s="5"/>
    </row>
    <row r="3362">
      <c r="A3362" s="3" t="s">
        <v>3214</v>
      </c>
      <c r="B3362" s="3" t="s">
        <v>3209</v>
      </c>
      <c r="C3362" s="3" t="s">
        <v>3314</v>
      </c>
      <c r="D3362" s="4" t="str">
        <f t="shared" si="163"/>
        <v>12Go Link</v>
      </c>
      <c r="E3362" s="3" t="s">
        <v>3197</v>
      </c>
      <c r="K3362" s="5"/>
    </row>
    <row r="3363">
      <c r="A3363" s="3" t="s">
        <v>3214</v>
      </c>
      <c r="B3363" s="3" t="s">
        <v>3209</v>
      </c>
      <c r="C3363" s="3" t="s">
        <v>3315</v>
      </c>
      <c r="D3363" s="4" t="str">
        <f t="shared" ref="D3363:D3366" si="164">HYPERLINK("https://12go.asia/en/travel/Hurghada-Intl-Airport/Aswan-Airport", "12Go Link")</f>
        <v>12Go Link</v>
      </c>
      <c r="E3363" s="3" t="s">
        <v>3196</v>
      </c>
      <c r="K3363" s="5"/>
    </row>
    <row r="3364">
      <c r="A3364" s="3" t="s">
        <v>3214</v>
      </c>
      <c r="B3364" s="3" t="s">
        <v>3209</v>
      </c>
      <c r="C3364" s="3" t="s">
        <v>3315</v>
      </c>
      <c r="D3364" s="4" t="str">
        <f t="shared" si="164"/>
        <v>12Go Link</v>
      </c>
      <c r="E3364" s="3" t="s">
        <v>3203</v>
      </c>
      <c r="K3364" s="5"/>
    </row>
    <row r="3365">
      <c r="A3365" s="3" t="s">
        <v>3214</v>
      </c>
      <c r="B3365" s="3" t="s">
        <v>3209</v>
      </c>
      <c r="C3365" s="3" t="s">
        <v>3315</v>
      </c>
      <c r="D3365" s="4" t="str">
        <f t="shared" si="164"/>
        <v>12Go Link</v>
      </c>
      <c r="E3365" s="3" t="s">
        <v>228</v>
      </c>
      <c r="K3365" s="5"/>
    </row>
    <row r="3366">
      <c r="A3366" s="3" t="s">
        <v>3214</v>
      </c>
      <c r="B3366" s="3" t="s">
        <v>3209</v>
      </c>
      <c r="C3366" s="3" t="s">
        <v>3315</v>
      </c>
      <c r="D3366" s="4" t="str">
        <f t="shared" si="164"/>
        <v>12Go Link</v>
      </c>
      <c r="E3366" s="3" t="s">
        <v>3197</v>
      </c>
      <c r="K3366" s="5"/>
    </row>
    <row r="3367">
      <c r="A3367" s="3" t="s">
        <v>3214</v>
      </c>
      <c r="B3367" s="3" t="s">
        <v>3209</v>
      </c>
      <c r="C3367" s="3" t="s">
        <v>3316</v>
      </c>
      <c r="D3367" s="4" t="str">
        <f t="shared" ref="D3367:D3370" si="165">HYPERLINK("https://12go.asia/en/travel/Makadi-Bay-Hotel-Transfer/Aswan-Airport", "12Go Link")</f>
        <v>12Go Link</v>
      </c>
      <c r="E3367" s="3" t="s">
        <v>3196</v>
      </c>
      <c r="K3367" s="5"/>
    </row>
    <row r="3368">
      <c r="A3368" s="3" t="s">
        <v>3214</v>
      </c>
      <c r="B3368" s="3" t="s">
        <v>3209</v>
      </c>
      <c r="C3368" s="3" t="s">
        <v>3316</v>
      </c>
      <c r="D3368" s="4" t="str">
        <f t="shared" si="165"/>
        <v>12Go Link</v>
      </c>
      <c r="E3368" s="3" t="s">
        <v>3203</v>
      </c>
      <c r="K3368" s="5"/>
    </row>
    <row r="3369">
      <c r="A3369" s="3" t="s">
        <v>3214</v>
      </c>
      <c r="B3369" s="3" t="s">
        <v>3209</v>
      </c>
      <c r="C3369" s="3" t="s">
        <v>3316</v>
      </c>
      <c r="D3369" s="4" t="str">
        <f t="shared" si="165"/>
        <v>12Go Link</v>
      </c>
      <c r="E3369" s="3" t="s">
        <v>228</v>
      </c>
      <c r="K3369" s="5"/>
    </row>
    <row r="3370">
      <c r="A3370" s="3" t="s">
        <v>3214</v>
      </c>
      <c r="B3370" s="3" t="s">
        <v>3209</v>
      </c>
      <c r="C3370" s="3" t="s">
        <v>3316</v>
      </c>
      <c r="D3370" s="4" t="str">
        <f t="shared" si="165"/>
        <v>12Go Link</v>
      </c>
      <c r="E3370" s="3" t="s">
        <v>3197</v>
      </c>
      <c r="K3370" s="5"/>
    </row>
    <row r="3371">
      <c r="A3371" s="3" t="s">
        <v>3214</v>
      </c>
      <c r="B3371" s="3" t="s">
        <v>3192</v>
      </c>
      <c r="C3371" s="3" t="s">
        <v>3317</v>
      </c>
      <c r="D3371" s="4" t="str">
        <f t="shared" ref="D3371:D3374" si="166">HYPERLINK("https://12go.asia/en/travel/Hurghada-Hotel-Transfer/Cairo-Hotel-Transfer", "12Go Link")</f>
        <v>12Go Link</v>
      </c>
      <c r="E3371" s="3" t="s">
        <v>3194</v>
      </c>
      <c r="K3371" s="5"/>
    </row>
    <row r="3372">
      <c r="A3372" s="3" t="s">
        <v>3214</v>
      </c>
      <c r="B3372" s="3" t="s">
        <v>3192</v>
      </c>
      <c r="C3372" s="3" t="s">
        <v>3317</v>
      </c>
      <c r="D3372" s="4" t="str">
        <f t="shared" si="166"/>
        <v>12Go Link</v>
      </c>
      <c r="E3372" s="3" t="s">
        <v>3195</v>
      </c>
      <c r="K3372" s="5"/>
    </row>
    <row r="3373">
      <c r="A3373" s="3" t="s">
        <v>3214</v>
      </c>
      <c r="B3373" s="3" t="s">
        <v>3192</v>
      </c>
      <c r="C3373" s="3" t="s">
        <v>3317</v>
      </c>
      <c r="D3373" s="4" t="str">
        <f t="shared" si="166"/>
        <v>12Go Link</v>
      </c>
      <c r="E3373" s="3" t="s">
        <v>3196</v>
      </c>
      <c r="K3373" s="5"/>
    </row>
    <row r="3374">
      <c r="A3374" s="3" t="s">
        <v>3214</v>
      </c>
      <c r="B3374" s="3" t="s">
        <v>3192</v>
      </c>
      <c r="C3374" s="3" t="s">
        <v>3317</v>
      </c>
      <c r="D3374" s="4" t="str">
        <f t="shared" si="166"/>
        <v>12Go Link</v>
      </c>
      <c r="E3374" s="3" t="s">
        <v>3197</v>
      </c>
      <c r="K3374" s="5"/>
    </row>
    <row r="3375">
      <c r="A3375" s="3" t="s">
        <v>3214</v>
      </c>
      <c r="B3375" s="3" t="s">
        <v>3192</v>
      </c>
      <c r="C3375" s="3" t="s">
        <v>3318</v>
      </c>
      <c r="D3375" s="4" t="str">
        <f t="shared" ref="D3375:D3378" si="167">HYPERLINK("https://12go.asia/en/travel/Hurghada-Hotel-Transfer/Cairo-International-Airport", "12Go Link")</f>
        <v>12Go Link</v>
      </c>
      <c r="E3375" s="3" t="s">
        <v>3194</v>
      </c>
      <c r="K3375" s="5"/>
    </row>
    <row r="3376">
      <c r="A3376" s="3" t="s">
        <v>3214</v>
      </c>
      <c r="B3376" s="3" t="s">
        <v>3192</v>
      </c>
      <c r="C3376" s="3" t="s">
        <v>3318</v>
      </c>
      <c r="D3376" s="4" t="str">
        <f t="shared" si="167"/>
        <v>12Go Link</v>
      </c>
      <c r="E3376" s="3" t="s">
        <v>3195</v>
      </c>
      <c r="K3376" s="5"/>
    </row>
    <row r="3377">
      <c r="A3377" s="3" t="s">
        <v>3214</v>
      </c>
      <c r="B3377" s="3" t="s">
        <v>3192</v>
      </c>
      <c r="C3377" s="3" t="s">
        <v>3318</v>
      </c>
      <c r="D3377" s="4" t="str">
        <f t="shared" si="167"/>
        <v>12Go Link</v>
      </c>
      <c r="E3377" s="3" t="s">
        <v>3196</v>
      </c>
      <c r="K3377" s="5"/>
    </row>
    <row r="3378">
      <c r="A3378" s="3" t="s">
        <v>3214</v>
      </c>
      <c r="B3378" s="3" t="s">
        <v>3192</v>
      </c>
      <c r="C3378" s="3" t="s">
        <v>3318</v>
      </c>
      <c r="D3378" s="4" t="str">
        <f t="shared" si="167"/>
        <v>12Go Link</v>
      </c>
      <c r="E3378" s="3" t="s">
        <v>3197</v>
      </c>
      <c r="K3378" s="5"/>
    </row>
    <row r="3379">
      <c r="A3379" s="3" t="s">
        <v>3214</v>
      </c>
      <c r="B3379" s="3" t="s">
        <v>3192</v>
      </c>
      <c r="C3379" s="3" t="s">
        <v>3319</v>
      </c>
      <c r="D3379" s="4" t="str">
        <f t="shared" ref="D3379:D3380" si="168">HYPERLINK("https://12go.asia/en/travel/Hurghada-Intl-Airport/Cairo-Hotel-Transfer", "12Go Link")</f>
        <v>12Go Link</v>
      </c>
      <c r="E3379" s="3" t="s">
        <v>3265</v>
      </c>
      <c r="K3379" s="5"/>
    </row>
    <row r="3380">
      <c r="A3380" s="3" t="s">
        <v>3214</v>
      </c>
      <c r="B3380" s="3" t="s">
        <v>3192</v>
      </c>
      <c r="C3380" s="3" t="s">
        <v>3319</v>
      </c>
      <c r="D3380" s="4" t="str">
        <f t="shared" si="168"/>
        <v>12Go Link</v>
      </c>
      <c r="E3380" s="3" t="s">
        <v>3196</v>
      </c>
      <c r="K3380" s="5"/>
    </row>
    <row r="3381">
      <c r="A3381" s="3" t="s">
        <v>3214</v>
      </c>
      <c r="B3381" s="3" t="s">
        <v>3305</v>
      </c>
      <c r="C3381" s="3" t="s">
        <v>3320</v>
      </c>
      <c r="D3381" s="4" t="str">
        <f t="shared" ref="D3381:D3382" si="169">HYPERLINK("https://12go.asia/en/travel/Hurghada-Intl-Airport/Akassia-Swiss-Resort", "12Go Link")</f>
        <v>12Go Link</v>
      </c>
      <c r="E3381" s="3" t="s">
        <v>3265</v>
      </c>
      <c r="K3381" s="5"/>
    </row>
    <row r="3382">
      <c r="A3382" s="3" t="s">
        <v>3214</v>
      </c>
      <c r="B3382" s="3" t="s">
        <v>3305</v>
      </c>
      <c r="C3382" s="3" t="s">
        <v>3320</v>
      </c>
      <c r="D3382" s="4" t="str">
        <f t="shared" si="169"/>
        <v>12Go Link</v>
      </c>
      <c r="E3382" s="3" t="s">
        <v>3196</v>
      </c>
      <c r="K3382" s="5"/>
    </row>
    <row r="3383">
      <c r="A3383" s="3" t="s">
        <v>3214</v>
      </c>
      <c r="B3383" s="3" t="s">
        <v>3305</v>
      </c>
      <c r="C3383" s="3" t="s">
        <v>3321</v>
      </c>
      <c r="D3383" s="4" t="str">
        <f t="shared" ref="D3383:D3384" si="170">HYPERLINK("https://12go.asia/en/travel/Hurghada-Intl-Airport/El-Qoseir-Hotel-Transfer", "12Go Link")</f>
        <v>12Go Link</v>
      </c>
      <c r="E3383" s="3" t="s">
        <v>3265</v>
      </c>
      <c r="K3383" s="5"/>
    </row>
    <row r="3384">
      <c r="A3384" s="3" t="s">
        <v>3214</v>
      </c>
      <c r="B3384" s="3" t="s">
        <v>3305</v>
      </c>
      <c r="C3384" s="3" t="s">
        <v>3321</v>
      </c>
      <c r="D3384" s="4" t="str">
        <f t="shared" si="170"/>
        <v>12Go Link</v>
      </c>
      <c r="E3384" s="3" t="s">
        <v>3196</v>
      </c>
      <c r="K3384" s="5"/>
    </row>
    <row r="3385">
      <c r="A3385" s="3" t="s">
        <v>3214</v>
      </c>
      <c r="B3385" s="3" t="s">
        <v>3214</v>
      </c>
      <c r="C3385" s="3" t="s">
        <v>3322</v>
      </c>
      <c r="D3385" s="4" t="str">
        <f t="shared" ref="D3385:D3386" si="171">HYPERLINK("https://12go.asia/en/travel/Coral-Beach-Hotel/Hurghada-Intl-Airport", "12Go Link")</f>
        <v>12Go Link</v>
      </c>
      <c r="E3385" s="3" t="s">
        <v>3265</v>
      </c>
      <c r="K3385" s="5"/>
    </row>
    <row r="3386">
      <c r="A3386" s="3" t="s">
        <v>3214</v>
      </c>
      <c r="B3386" s="3" t="s">
        <v>3214</v>
      </c>
      <c r="C3386" s="3" t="s">
        <v>3322</v>
      </c>
      <c r="D3386" s="4" t="str">
        <f t="shared" si="171"/>
        <v>12Go Link</v>
      </c>
      <c r="E3386" s="3" t="s">
        <v>3196</v>
      </c>
      <c r="K3386" s="5"/>
    </row>
    <row r="3387">
      <c r="A3387" s="3" t="s">
        <v>3214</v>
      </c>
      <c r="B3387" s="3" t="s">
        <v>3214</v>
      </c>
      <c r="C3387" s="3" t="s">
        <v>3323</v>
      </c>
      <c r="D3387" s="4" t="str">
        <f t="shared" ref="D3387:D3388" si="172">HYPERLINK("https://12go.asia/en/travel/El-Gouna-Hotel-Transfer/Hurghada-Intl-Airport", "12Go Link")</f>
        <v>12Go Link</v>
      </c>
      <c r="E3387" s="3" t="s">
        <v>3265</v>
      </c>
      <c r="K3387" s="5"/>
    </row>
    <row r="3388">
      <c r="A3388" s="3" t="s">
        <v>3214</v>
      </c>
      <c r="B3388" s="3" t="s">
        <v>3214</v>
      </c>
      <c r="C3388" s="3" t="s">
        <v>3323</v>
      </c>
      <c r="D3388" s="4" t="str">
        <f t="shared" si="172"/>
        <v>12Go Link</v>
      </c>
      <c r="E3388" s="3" t="s">
        <v>3196</v>
      </c>
      <c r="K3388" s="5"/>
    </row>
    <row r="3389">
      <c r="A3389" s="3" t="s">
        <v>3214</v>
      </c>
      <c r="B3389" s="3" t="s">
        <v>3214</v>
      </c>
      <c r="C3389" s="3" t="s">
        <v>3324</v>
      </c>
      <c r="D3389" s="4" t="str">
        <f t="shared" ref="D3389:D3390" si="173">HYPERLINK("https://12go.asia/en/travel/Hurghada-Hotel-Transfer/Hurghada-Intl-Airport", "12Go Link")</f>
        <v>12Go Link</v>
      </c>
      <c r="E3389" s="3" t="s">
        <v>3265</v>
      </c>
      <c r="K3389" s="5"/>
    </row>
    <row r="3390">
      <c r="A3390" s="3" t="s">
        <v>3214</v>
      </c>
      <c r="B3390" s="3" t="s">
        <v>3214</v>
      </c>
      <c r="C3390" s="3" t="s">
        <v>3324</v>
      </c>
      <c r="D3390" s="4" t="str">
        <f t="shared" si="173"/>
        <v>12Go Link</v>
      </c>
      <c r="E3390" s="3" t="s">
        <v>3196</v>
      </c>
      <c r="K3390" s="5"/>
    </row>
    <row r="3391">
      <c r="A3391" s="3" t="s">
        <v>3214</v>
      </c>
      <c r="B3391" s="3" t="s">
        <v>3214</v>
      </c>
      <c r="C3391" s="3" t="s">
        <v>3325</v>
      </c>
      <c r="D3391" s="4" t="str">
        <f t="shared" ref="D3391:D3392" si="174">HYPERLINK("https://12go.asia/en/travel/Hurghada-Intl-Airport/Coral-Beach-Hotel", "12Go Link")</f>
        <v>12Go Link</v>
      </c>
      <c r="E3391" s="3" t="s">
        <v>3265</v>
      </c>
      <c r="K3391" s="5"/>
    </row>
    <row r="3392">
      <c r="A3392" s="3" t="s">
        <v>3214</v>
      </c>
      <c r="B3392" s="3" t="s">
        <v>3214</v>
      </c>
      <c r="C3392" s="3" t="s">
        <v>3325</v>
      </c>
      <c r="D3392" s="4" t="str">
        <f t="shared" si="174"/>
        <v>12Go Link</v>
      </c>
      <c r="E3392" s="3" t="s">
        <v>3196</v>
      </c>
      <c r="K3392" s="5"/>
    </row>
    <row r="3393">
      <c r="A3393" s="3" t="s">
        <v>3214</v>
      </c>
      <c r="B3393" s="3" t="s">
        <v>3214</v>
      </c>
      <c r="C3393" s="3" t="s">
        <v>3326</v>
      </c>
      <c r="D3393" s="4" t="str">
        <f t="shared" ref="D3393:D3394" si="175">HYPERLINK("https://12go.asia/en/travel/Hurghada-Intl-Airport/El-Gouna-Hotel-Transfer", "12Go Link")</f>
        <v>12Go Link</v>
      </c>
      <c r="E3393" s="3" t="s">
        <v>3265</v>
      </c>
      <c r="K3393" s="5"/>
    </row>
    <row r="3394">
      <c r="A3394" s="3" t="s">
        <v>3214</v>
      </c>
      <c r="B3394" s="3" t="s">
        <v>3214</v>
      </c>
      <c r="C3394" s="3" t="s">
        <v>3326</v>
      </c>
      <c r="D3394" s="4" t="str">
        <f t="shared" si="175"/>
        <v>12Go Link</v>
      </c>
      <c r="E3394" s="3" t="s">
        <v>3196</v>
      </c>
      <c r="K3394" s="5"/>
    </row>
    <row r="3395">
      <c r="A3395" s="3" t="s">
        <v>3214</v>
      </c>
      <c r="B3395" s="3" t="s">
        <v>3214</v>
      </c>
      <c r="C3395" s="3" t="s">
        <v>3327</v>
      </c>
      <c r="D3395" s="4" t="str">
        <f t="shared" ref="D3395:D3396" si="176">HYPERLINK("https://12go.asia/en/travel/Hurghada-Intl-Airport/Hurghada-Hotel-Transfer", "12Go Link")</f>
        <v>12Go Link</v>
      </c>
      <c r="E3395" s="3" t="s">
        <v>3265</v>
      </c>
      <c r="K3395" s="5"/>
    </row>
    <row r="3396">
      <c r="A3396" s="3" t="s">
        <v>3214</v>
      </c>
      <c r="B3396" s="3" t="s">
        <v>3214</v>
      </c>
      <c r="C3396" s="3" t="s">
        <v>3327</v>
      </c>
      <c r="D3396" s="4" t="str">
        <f t="shared" si="176"/>
        <v>12Go Link</v>
      </c>
      <c r="E3396" s="3" t="s">
        <v>3196</v>
      </c>
      <c r="K3396" s="5"/>
    </row>
    <row r="3397">
      <c r="A3397" s="3" t="s">
        <v>3214</v>
      </c>
      <c r="B3397" s="3" t="s">
        <v>3214</v>
      </c>
      <c r="C3397" s="3" t="s">
        <v>3328</v>
      </c>
      <c r="D3397" s="4" t="str">
        <f t="shared" ref="D3397:D3398" si="177">HYPERLINK("https://12go.asia/en/travel/Hurghada-Intl-Airport/Intercontinental-District-Transfer", "12Go Link")</f>
        <v>12Go Link</v>
      </c>
      <c r="E3397" s="3" t="s">
        <v>3265</v>
      </c>
      <c r="K3397" s="5"/>
    </row>
    <row r="3398">
      <c r="A3398" s="3" t="s">
        <v>3214</v>
      </c>
      <c r="B3398" s="3" t="s">
        <v>3214</v>
      </c>
      <c r="C3398" s="3" t="s">
        <v>3328</v>
      </c>
      <c r="D3398" s="4" t="str">
        <f t="shared" si="177"/>
        <v>12Go Link</v>
      </c>
      <c r="E3398" s="3" t="s">
        <v>3196</v>
      </c>
      <c r="K3398" s="5"/>
    </row>
    <row r="3399">
      <c r="A3399" s="3" t="s">
        <v>3214</v>
      </c>
      <c r="B3399" s="3" t="s">
        <v>3214</v>
      </c>
      <c r="C3399" s="3" t="s">
        <v>3329</v>
      </c>
      <c r="D3399" s="4" t="str">
        <f t="shared" ref="D3399:D3400" si="178">HYPERLINK("https://12go.asia/en/travel/Hurghada-Intl-Airport/Makadi-Bay-Hotel-Transfer", "12Go Link")</f>
        <v>12Go Link</v>
      </c>
      <c r="E3399" s="3" t="s">
        <v>3265</v>
      </c>
      <c r="K3399" s="5"/>
    </row>
    <row r="3400">
      <c r="A3400" s="3" t="s">
        <v>3214</v>
      </c>
      <c r="B3400" s="3" t="s">
        <v>3214</v>
      </c>
      <c r="C3400" s="3" t="s">
        <v>3329</v>
      </c>
      <c r="D3400" s="4" t="str">
        <f t="shared" si="178"/>
        <v>12Go Link</v>
      </c>
      <c r="E3400" s="3" t="s">
        <v>3196</v>
      </c>
      <c r="K3400" s="5"/>
    </row>
    <row r="3401">
      <c r="A3401" s="3" t="s">
        <v>3214</v>
      </c>
      <c r="B3401" s="3" t="s">
        <v>3214</v>
      </c>
      <c r="C3401" s="3" t="s">
        <v>3330</v>
      </c>
      <c r="D3401" s="4" t="str">
        <f t="shared" ref="D3401:D3402" si="179">HYPERLINK("https://12go.asia/en/travel/Hurghada-Intl-Airport/Sahl-Hasheesh-Hotel-Transfer", "12Go Link")</f>
        <v>12Go Link</v>
      </c>
      <c r="E3401" s="3" t="s">
        <v>3265</v>
      </c>
      <c r="K3401" s="5"/>
    </row>
    <row r="3402">
      <c r="A3402" s="3" t="s">
        <v>3214</v>
      </c>
      <c r="B3402" s="3" t="s">
        <v>3214</v>
      </c>
      <c r="C3402" s="3" t="s">
        <v>3330</v>
      </c>
      <c r="D3402" s="4" t="str">
        <f t="shared" si="179"/>
        <v>12Go Link</v>
      </c>
      <c r="E3402" s="3" t="s">
        <v>3196</v>
      </c>
      <c r="K3402" s="5"/>
    </row>
    <row r="3403">
      <c r="A3403" s="3" t="s">
        <v>3214</v>
      </c>
      <c r="B3403" s="3" t="s">
        <v>3214</v>
      </c>
      <c r="C3403" s="3" t="s">
        <v>3331</v>
      </c>
      <c r="D3403" s="4" t="str">
        <f t="shared" ref="D3403:D3404" si="180">HYPERLINK("https://12go.asia/en/travel/Hurghada-Intl-Airport/Soma-Bay-Hotel-Transfer", "12Go Link")</f>
        <v>12Go Link</v>
      </c>
      <c r="E3403" s="3" t="s">
        <v>3265</v>
      </c>
      <c r="K3403" s="5"/>
    </row>
    <row r="3404">
      <c r="A3404" s="3" t="s">
        <v>3214</v>
      </c>
      <c r="B3404" s="3" t="s">
        <v>3214</v>
      </c>
      <c r="C3404" s="3" t="s">
        <v>3331</v>
      </c>
      <c r="D3404" s="4" t="str">
        <f t="shared" si="180"/>
        <v>12Go Link</v>
      </c>
      <c r="E3404" s="3" t="s">
        <v>3196</v>
      </c>
      <c r="K3404" s="5"/>
    </row>
    <row r="3405">
      <c r="A3405" s="3" t="s">
        <v>3214</v>
      </c>
      <c r="B3405" s="3" t="s">
        <v>3214</v>
      </c>
      <c r="C3405" s="3" t="s">
        <v>3332</v>
      </c>
      <c r="D3405" s="4" t="str">
        <f t="shared" ref="D3405:D3406" si="181">HYPERLINK("https://12go.asia/en/travel/Intercontinental-District-Transfer/Hurghada-Intl-Airport", "12Go Link")</f>
        <v>12Go Link</v>
      </c>
      <c r="E3405" s="3" t="s">
        <v>3265</v>
      </c>
      <c r="K3405" s="5"/>
    </row>
    <row r="3406">
      <c r="A3406" s="3" t="s">
        <v>3214</v>
      </c>
      <c r="B3406" s="3" t="s">
        <v>3214</v>
      </c>
      <c r="C3406" s="3" t="s">
        <v>3332</v>
      </c>
      <c r="D3406" s="4" t="str">
        <f t="shared" si="181"/>
        <v>12Go Link</v>
      </c>
      <c r="E3406" s="3" t="s">
        <v>3196</v>
      </c>
      <c r="K3406" s="5"/>
    </row>
    <row r="3407">
      <c r="A3407" s="3" t="s">
        <v>3214</v>
      </c>
      <c r="B3407" s="3" t="s">
        <v>3214</v>
      </c>
      <c r="C3407" s="3" t="s">
        <v>3333</v>
      </c>
      <c r="D3407" s="4" t="str">
        <f t="shared" ref="D3407:D3408" si="182">HYPERLINK("https://12go.asia/en/travel/Makadi-Bay-Hotel-Transfer/Hurghada-Intl-Airport", "12Go Link")</f>
        <v>12Go Link</v>
      </c>
      <c r="E3407" s="3" t="s">
        <v>3265</v>
      </c>
      <c r="K3407" s="5"/>
    </row>
    <row r="3408">
      <c r="A3408" s="3" t="s">
        <v>3214</v>
      </c>
      <c r="B3408" s="3" t="s">
        <v>3214</v>
      </c>
      <c r="C3408" s="3" t="s">
        <v>3333</v>
      </c>
      <c r="D3408" s="4" t="str">
        <f t="shared" si="182"/>
        <v>12Go Link</v>
      </c>
      <c r="E3408" s="3" t="s">
        <v>3196</v>
      </c>
      <c r="K3408" s="5"/>
    </row>
    <row r="3409">
      <c r="A3409" s="3" t="s">
        <v>3214</v>
      </c>
      <c r="B3409" s="3" t="s">
        <v>3214</v>
      </c>
      <c r="C3409" s="3" t="s">
        <v>3334</v>
      </c>
      <c r="D3409" s="4" t="str">
        <f t="shared" ref="D3409:D3410" si="183">HYPERLINK("https://12go.asia/en/travel/Sahl-Hasheesh-Hotel-Transfer/Hurghada-Intl-Airport", "12Go Link")</f>
        <v>12Go Link</v>
      </c>
      <c r="E3409" s="3" t="s">
        <v>3265</v>
      </c>
      <c r="K3409" s="5"/>
    </row>
    <row r="3410">
      <c r="A3410" s="3" t="s">
        <v>3214</v>
      </c>
      <c r="B3410" s="3" t="s">
        <v>3214</v>
      </c>
      <c r="C3410" s="3" t="s">
        <v>3334</v>
      </c>
      <c r="D3410" s="4" t="str">
        <f t="shared" si="183"/>
        <v>12Go Link</v>
      </c>
      <c r="E3410" s="3" t="s">
        <v>3196</v>
      </c>
      <c r="K3410" s="5"/>
    </row>
    <row r="3411">
      <c r="A3411" s="3" t="s">
        <v>3214</v>
      </c>
      <c r="B3411" s="3" t="s">
        <v>3214</v>
      </c>
      <c r="C3411" s="3" t="s">
        <v>3335</v>
      </c>
      <c r="D3411" s="4" t="str">
        <f t="shared" ref="D3411:D3412" si="184">HYPERLINK("https://12go.asia/en/travel/Soma-Bay-Hotel-Transfer/Hurghada-Intl-Airport", "12Go Link")</f>
        <v>12Go Link</v>
      </c>
      <c r="E3411" s="3" t="s">
        <v>3265</v>
      </c>
      <c r="K3411" s="5"/>
    </row>
    <row r="3412">
      <c r="A3412" s="3" t="s">
        <v>3214</v>
      </c>
      <c r="B3412" s="3" t="s">
        <v>3214</v>
      </c>
      <c r="C3412" s="3" t="s">
        <v>3335</v>
      </c>
      <c r="D3412" s="4" t="str">
        <f t="shared" si="184"/>
        <v>12Go Link</v>
      </c>
      <c r="E3412" s="3" t="s">
        <v>3196</v>
      </c>
      <c r="K3412" s="5"/>
    </row>
    <row r="3413">
      <c r="A3413" s="3" t="s">
        <v>3214</v>
      </c>
      <c r="B3413" s="3" t="s">
        <v>3219</v>
      </c>
      <c r="C3413" s="3" t="s">
        <v>3336</v>
      </c>
      <c r="D3413" s="4" t="str">
        <f t="shared" ref="D3413:D3416" si="185">HYPERLINK("https://12go.asia/en/travel/El-Gouna-Hotel-Transfer/Luxor-International-Airport", "12Go Link")</f>
        <v>12Go Link</v>
      </c>
      <c r="E3413" s="3" t="s">
        <v>3196</v>
      </c>
      <c r="K3413" s="5"/>
    </row>
    <row r="3414">
      <c r="A3414" s="3" t="s">
        <v>3214</v>
      </c>
      <c r="B3414" s="3" t="s">
        <v>3219</v>
      </c>
      <c r="C3414" s="3" t="s">
        <v>3336</v>
      </c>
      <c r="D3414" s="4" t="str">
        <f t="shared" si="185"/>
        <v>12Go Link</v>
      </c>
      <c r="E3414" s="3" t="s">
        <v>3203</v>
      </c>
      <c r="K3414" s="5"/>
    </row>
    <row r="3415">
      <c r="A3415" s="3" t="s">
        <v>3214</v>
      </c>
      <c r="B3415" s="3" t="s">
        <v>3219</v>
      </c>
      <c r="C3415" s="3" t="s">
        <v>3336</v>
      </c>
      <c r="D3415" s="4" t="str">
        <f t="shared" si="185"/>
        <v>12Go Link</v>
      </c>
      <c r="E3415" s="3" t="s">
        <v>228</v>
      </c>
      <c r="K3415" s="5"/>
    </row>
    <row r="3416">
      <c r="A3416" s="3" t="s">
        <v>3214</v>
      </c>
      <c r="B3416" s="3" t="s">
        <v>3219</v>
      </c>
      <c r="C3416" s="3" t="s">
        <v>3336</v>
      </c>
      <c r="D3416" s="4" t="str">
        <f t="shared" si="185"/>
        <v>12Go Link</v>
      </c>
      <c r="E3416" s="3" t="s">
        <v>3197</v>
      </c>
      <c r="K3416" s="5"/>
    </row>
    <row r="3417">
      <c r="A3417" s="3" t="s">
        <v>3214</v>
      </c>
      <c r="B3417" s="3" t="s">
        <v>3219</v>
      </c>
      <c r="C3417" s="3" t="s">
        <v>3337</v>
      </c>
      <c r="D3417" s="4" t="str">
        <f t="shared" ref="D3417:D3420" si="186">HYPERLINK("https://12go.asia/en/travel/Hurghada-Hotel-Transfer/Luxor-International-Airport", "12Go Link")</f>
        <v>12Go Link</v>
      </c>
      <c r="E3417" s="3" t="s">
        <v>3196</v>
      </c>
      <c r="K3417" s="5"/>
    </row>
    <row r="3418">
      <c r="A3418" s="3" t="s">
        <v>3214</v>
      </c>
      <c r="B3418" s="3" t="s">
        <v>3219</v>
      </c>
      <c r="C3418" s="3" t="s">
        <v>3337</v>
      </c>
      <c r="D3418" s="4" t="str">
        <f t="shared" si="186"/>
        <v>12Go Link</v>
      </c>
      <c r="E3418" s="3" t="s">
        <v>3203</v>
      </c>
      <c r="K3418" s="5"/>
    </row>
    <row r="3419">
      <c r="A3419" s="3" t="s">
        <v>3214</v>
      </c>
      <c r="B3419" s="3" t="s">
        <v>3219</v>
      </c>
      <c r="C3419" s="3" t="s">
        <v>3337</v>
      </c>
      <c r="D3419" s="4" t="str">
        <f t="shared" si="186"/>
        <v>12Go Link</v>
      </c>
      <c r="E3419" s="3" t="s">
        <v>228</v>
      </c>
      <c r="K3419" s="5"/>
    </row>
    <row r="3420">
      <c r="A3420" s="3" t="s">
        <v>3214</v>
      </c>
      <c r="B3420" s="3" t="s">
        <v>3219</v>
      </c>
      <c r="C3420" s="3" t="s">
        <v>3337</v>
      </c>
      <c r="D3420" s="4" t="str">
        <f t="shared" si="186"/>
        <v>12Go Link</v>
      </c>
      <c r="E3420" s="3" t="s">
        <v>3197</v>
      </c>
      <c r="K3420" s="5"/>
    </row>
    <row r="3421">
      <c r="A3421" s="3" t="s">
        <v>3214</v>
      </c>
      <c r="B3421" s="3" t="s">
        <v>3219</v>
      </c>
      <c r="C3421" s="3" t="s">
        <v>3338</v>
      </c>
      <c r="D3421" s="4" t="str">
        <f t="shared" ref="D3421:D3422" si="187">HYPERLINK("https://12go.asia/en/travel/Hurghada-Intl-Airport/Luxor-Hotel-Transfer", "12Go Link")</f>
        <v>12Go Link</v>
      </c>
      <c r="E3421" s="3" t="s">
        <v>3265</v>
      </c>
      <c r="K3421" s="5"/>
    </row>
    <row r="3422">
      <c r="A3422" s="3" t="s">
        <v>3214</v>
      </c>
      <c r="B3422" s="3" t="s">
        <v>3219</v>
      </c>
      <c r="C3422" s="3" t="s">
        <v>3338</v>
      </c>
      <c r="D3422" s="4" t="str">
        <f t="shared" si="187"/>
        <v>12Go Link</v>
      </c>
      <c r="E3422" s="3" t="s">
        <v>3196</v>
      </c>
      <c r="K3422" s="5"/>
    </row>
    <row r="3423">
      <c r="A3423" s="3" t="s">
        <v>3214</v>
      </c>
      <c r="B3423" s="3" t="s">
        <v>3219</v>
      </c>
      <c r="C3423" s="3" t="s">
        <v>3339</v>
      </c>
      <c r="D3423" s="4" t="str">
        <f t="shared" ref="D3423:D3426" si="188">HYPERLINK("https://12go.asia/en/travel/Hurghada-Port/Luxor-International-Airport", "12Go Link")</f>
        <v>12Go Link</v>
      </c>
      <c r="E3423" s="3" t="s">
        <v>3196</v>
      </c>
      <c r="K3423" s="5"/>
    </row>
    <row r="3424">
      <c r="A3424" s="3" t="s">
        <v>3214</v>
      </c>
      <c r="B3424" s="3" t="s">
        <v>3219</v>
      </c>
      <c r="C3424" s="3" t="s">
        <v>3339</v>
      </c>
      <c r="D3424" s="4" t="str">
        <f t="shared" si="188"/>
        <v>12Go Link</v>
      </c>
      <c r="E3424" s="3" t="s">
        <v>3203</v>
      </c>
      <c r="K3424" s="5"/>
    </row>
    <row r="3425">
      <c r="A3425" s="3" t="s">
        <v>3214</v>
      </c>
      <c r="B3425" s="3" t="s">
        <v>3219</v>
      </c>
      <c r="C3425" s="3" t="s">
        <v>3339</v>
      </c>
      <c r="D3425" s="4" t="str">
        <f t="shared" si="188"/>
        <v>12Go Link</v>
      </c>
      <c r="E3425" s="3" t="s">
        <v>228</v>
      </c>
      <c r="K3425" s="5"/>
    </row>
    <row r="3426">
      <c r="A3426" s="3" t="s">
        <v>3214</v>
      </c>
      <c r="B3426" s="3" t="s">
        <v>3219</v>
      </c>
      <c r="C3426" s="3" t="s">
        <v>3339</v>
      </c>
      <c r="D3426" s="4" t="str">
        <f t="shared" si="188"/>
        <v>12Go Link</v>
      </c>
      <c r="E3426" s="3" t="s">
        <v>3197</v>
      </c>
      <c r="K3426" s="5"/>
    </row>
    <row r="3427">
      <c r="A3427" s="3" t="s">
        <v>3214</v>
      </c>
      <c r="B3427" s="3" t="s">
        <v>3219</v>
      </c>
      <c r="C3427" s="3" t="s">
        <v>3340</v>
      </c>
      <c r="D3427" s="4" t="str">
        <f t="shared" ref="D3427:D3430" si="189">HYPERLINK("https://12go.asia/en/travel/Makadi-Bay-Hotel-Transfer/Luxor-International-Airport", "12Go Link")</f>
        <v>12Go Link</v>
      </c>
      <c r="E3427" s="3" t="s">
        <v>3196</v>
      </c>
      <c r="K3427" s="5"/>
    </row>
    <row r="3428">
      <c r="A3428" s="3" t="s">
        <v>3214</v>
      </c>
      <c r="B3428" s="3" t="s">
        <v>3219</v>
      </c>
      <c r="C3428" s="3" t="s">
        <v>3340</v>
      </c>
      <c r="D3428" s="4" t="str">
        <f t="shared" si="189"/>
        <v>12Go Link</v>
      </c>
      <c r="E3428" s="3" t="s">
        <v>3203</v>
      </c>
      <c r="K3428" s="5"/>
    </row>
    <row r="3429">
      <c r="A3429" s="3" t="s">
        <v>3214</v>
      </c>
      <c r="B3429" s="3" t="s">
        <v>3219</v>
      </c>
      <c r="C3429" s="3" t="s">
        <v>3340</v>
      </c>
      <c r="D3429" s="4" t="str">
        <f t="shared" si="189"/>
        <v>12Go Link</v>
      </c>
      <c r="E3429" s="3" t="s">
        <v>228</v>
      </c>
      <c r="K3429" s="5"/>
    </row>
    <row r="3430">
      <c r="A3430" s="3" t="s">
        <v>3214</v>
      </c>
      <c r="B3430" s="3" t="s">
        <v>3219</v>
      </c>
      <c r="C3430" s="3" t="s">
        <v>3340</v>
      </c>
      <c r="D3430" s="4" t="str">
        <f t="shared" si="189"/>
        <v>12Go Link</v>
      </c>
      <c r="E3430" s="3" t="s">
        <v>3197</v>
      </c>
      <c r="K3430" s="5"/>
    </row>
    <row r="3431">
      <c r="A3431" s="3" t="s">
        <v>3214</v>
      </c>
      <c r="B3431" s="3" t="s">
        <v>3219</v>
      </c>
      <c r="C3431" s="3" t="s">
        <v>3341</v>
      </c>
      <c r="D3431" s="4" t="str">
        <f t="shared" ref="D3431:D3434" si="190">HYPERLINK("https://12go.asia/en/travel/Soma-Bay-Hotel-Transfer/Luxor-International-Airport", "12Go Link")</f>
        <v>12Go Link</v>
      </c>
      <c r="E3431" s="3" t="s">
        <v>3196</v>
      </c>
      <c r="K3431" s="5"/>
    </row>
    <row r="3432">
      <c r="A3432" s="3" t="s">
        <v>3214</v>
      </c>
      <c r="B3432" s="3" t="s">
        <v>3219</v>
      </c>
      <c r="C3432" s="3" t="s">
        <v>3341</v>
      </c>
      <c r="D3432" s="4" t="str">
        <f t="shared" si="190"/>
        <v>12Go Link</v>
      </c>
      <c r="E3432" s="3" t="s">
        <v>3203</v>
      </c>
      <c r="K3432" s="5"/>
    </row>
    <row r="3433">
      <c r="A3433" s="3" t="s">
        <v>3214</v>
      </c>
      <c r="B3433" s="3" t="s">
        <v>3219</v>
      </c>
      <c r="C3433" s="3" t="s">
        <v>3341</v>
      </c>
      <c r="D3433" s="4" t="str">
        <f t="shared" si="190"/>
        <v>12Go Link</v>
      </c>
      <c r="E3433" s="3" t="s">
        <v>228</v>
      </c>
      <c r="K3433" s="5"/>
    </row>
    <row r="3434">
      <c r="A3434" s="3" t="s">
        <v>3214</v>
      </c>
      <c r="B3434" s="3" t="s">
        <v>3219</v>
      </c>
      <c r="C3434" s="3" t="s">
        <v>3341</v>
      </c>
      <c r="D3434" s="4" t="str">
        <f t="shared" si="190"/>
        <v>12Go Link</v>
      </c>
      <c r="E3434" s="3" t="s">
        <v>3197</v>
      </c>
      <c r="K3434" s="5"/>
    </row>
    <row r="3435">
      <c r="A3435" s="3" t="s">
        <v>3214</v>
      </c>
      <c r="B3435" s="3" t="s">
        <v>3273</v>
      </c>
      <c r="C3435" s="3" t="s">
        <v>3342</v>
      </c>
      <c r="D3435" s="4" t="str">
        <f t="shared" ref="D3435:D3438" si="191">HYPERLINK("https://12go.asia/en/travel/Coral-Beach-Hotel/Marsa-Alam-Airport", "12Go Link")</f>
        <v>12Go Link</v>
      </c>
      <c r="E3435" s="3" t="s">
        <v>3196</v>
      </c>
      <c r="K3435" s="5"/>
    </row>
    <row r="3436">
      <c r="A3436" s="3" t="s">
        <v>3214</v>
      </c>
      <c r="B3436" s="3" t="s">
        <v>3273</v>
      </c>
      <c r="C3436" s="3" t="s">
        <v>3342</v>
      </c>
      <c r="D3436" s="4" t="str">
        <f t="shared" si="191"/>
        <v>12Go Link</v>
      </c>
      <c r="E3436" s="3" t="s">
        <v>3203</v>
      </c>
      <c r="K3436" s="5"/>
    </row>
    <row r="3437">
      <c r="A3437" s="3" t="s">
        <v>3214</v>
      </c>
      <c r="B3437" s="3" t="s">
        <v>3273</v>
      </c>
      <c r="C3437" s="3" t="s">
        <v>3342</v>
      </c>
      <c r="D3437" s="4" t="str">
        <f t="shared" si="191"/>
        <v>12Go Link</v>
      </c>
      <c r="E3437" s="3" t="s">
        <v>228</v>
      </c>
      <c r="K3437" s="5"/>
    </row>
    <row r="3438">
      <c r="A3438" s="3" t="s">
        <v>3214</v>
      </c>
      <c r="B3438" s="3" t="s">
        <v>3273</v>
      </c>
      <c r="C3438" s="3" t="s">
        <v>3342</v>
      </c>
      <c r="D3438" s="4" t="str">
        <f t="shared" si="191"/>
        <v>12Go Link</v>
      </c>
      <c r="E3438" s="3" t="s">
        <v>3197</v>
      </c>
      <c r="K3438" s="5"/>
    </row>
    <row r="3439">
      <c r="A3439" s="3" t="s">
        <v>3214</v>
      </c>
      <c r="B3439" s="3" t="s">
        <v>3273</v>
      </c>
      <c r="C3439" s="3" t="s">
        <v>3343</v>
      </c>
      <c r="D3439" s="4" t="str">
        <f t="shared" ref="D3439:D3442" si="192">HYPERLINK("https://12go.asia/en/travel/Hurghada-Hotel-Transfer/Marsa-Alam-Airport", "12Go Link")</f>
        <v>12Go Link</v>
      </c>
      <c r="E3439" s="3" t="s">
        <v>3196</v>
      </c>
      <c r="K3439" s="5"/>
    </row>
    <row r="3440">
      <c r="A3440" s="3" t="s">
        <v>3214</v>
      </c>
      <c r="B3440" s="3" t="s">
        <v>3273</v>
      </c>
      <c r="C3440" s="3" t="s">
        <v>3343</v>
      </c>
      <c r="D3440" s="4" t="str">
        <f t="shared" si="192"/>
        <v>12Go Link</v>
      </c>
      <c r="E3440" s="3" t="s">
        <v>3203</v>
      </c>
      <c r="K3440" s="5"/>
    </row>
    <row r="3441">
      <c r="A3441" s="3" t="s">
        <v>3214</v>
      </c>
      <c r="B3441" s="3" t="s">
        <v>3273</v>
      </c>
      <c r="C3441" s="3" t="s">
        <v>3343</v>
      </c>
      <c r="D3441" s="4" t="str">
        <f t="shared" si="192"/>
        <v>12Go Link</v>
      </c>
      <c r="E3441" s="3" t="s">
        <v>228</v>
      </c>
      <c r="K3441" s="5"/>
    </row>
    <row r="3442">
      <c r="A3442" s="3" t="s">
        <v>3214</v>
      </c>
      <c r="B3442" s="3" t="s">
        <v>3273</v>
      </c>
      <c r="C3442" s="3" t="s">
        <v>3343</v>
      </c>
      <c r="D3442" s="4" t="str">
        <f t="shared" si="192"/>
        <v>12Go Link</v>
      </c>
      <c r="E3442" s="3" t="s">
        <v>3197</v>
      </c>
      <c r="K3442" s="5"/>
    </row>
    <row r="3443">
      <c r="A3443" s="3" t="s">
        <v>3214</v>
      </c>
      <c r="B3443" s="3" t="s">
        <v>3273</v>
      </c>
      <c r="C3443" s="3" t="s">
        <v>3344</v>
      </c>
      <c r="D3443" s="4" t="str">
        <f t="shared" ref="D3443:D3444" si="193">HYPERLINK("https://12go.asia/en/travel/Hurghada-Intl-Airport/Madinat-Coraya-Resort", "12Go Link")</f>
        <v>12Go Link</v>
      </c>
      <c r="E3443" s="3" t="s">
        <v>3265</v>
      </c>
      <c r="K3443" s="5"/>
    </row>
    <row r="3444">
      <c r="A3444" s="3" t="s">
        <v>3214</v>
      </c>
      <c r="B3444" s="3" t="s">
        <v>3273</v>
      </c>
      <c r="C3444" s="3" t="s">
        <v>3344</v>
      </c>
      <c r="D3444" s="4" t="str">
        <f t="shared" si="193"/>
        <v>12Go Link</v>
      </c>
      <c r="E3444" s="3" t="s">
        <v>3196</v>
      </c>
      <c r="K3444" s="5"/>
    </row>
    <row r="3445">
      <c r="A3445" s="3" t="s">
        <v>3214</v>
      </c>
      <c r="B3445" s="3" t="s">
        <v>3273</v>
      </c>
      <c r="C3445" s="3" t="s">
        <v>3345</v>
      </c>
      <c r="D3445" s="4" t="str">
        <f t="shared" ref="D3445:D3449" si="194">HYPERLINK("https://12go.asia/en/travel/Hurghada-Intl-Airport/Marsa-Alam-Airport", "12Go Link")</f>
        <v>12Go Link</v>
      </c>
      <c r="E3445" s="3" t="s">
        <v>3265</v>
      </c>
      <c r="K3445" s="5"/>
    </row>
    <row r="3446">
      <c r="A3446" s="3" t="s">
        <v>3214</v>
      </c>
      <c r="B3446" s="3" t="s">
        <v>3273</v>
      </c>
      <c r="C3446" s="3" t="s">
        <v>3345</v>
      </c>
      <c r="D3446" s="4" t="str">
        <f t="shared" si="194"/>
        <v>12Go Link</v>
      </c>
      <c r="E3446" s="3" t="s">
        <v>3196</v>
      </c>
      <c r="K3446" s="5"/>
    </row>
    <row r="3447">
      <c r="A3447" s="3" t="s">
        <v>3214</v>
      </c>
      <c r="B3447" s="3" t="s">
        <v>3273</v>
      </c>
      <c r="C3447" s="3" t="s">
        <v>3345</v>
      </c>
      <c r="D3447" s="4" t="str">
        <f t="shared" si="194"/>
        <v>12Go Link</v>
      </c>
      <c r="E3447" s="3" t="s">
        <v>3203</v>
      </c>
      <c r="K3447" s="5"/>
    </row>
    <row r="3448">
      <c r="A3448" s="3" t="s">
        <v>3214</v>
      </c>
      <c r="B3448" s="3" t="s">
        <v>3273</v>
      </c>
      <c r="C3448" s="3" t="s">
        <v>3345</v>
      </c>
      <c r="D3448" s="4" t="str">
        <f t="shared" si="194"/>
        <v>12Go Link</v>
      </c>
      <c r="E3448" s="3" t="s">
        <v>228</v>
      </c>
      <c r="K3448" s="5"/>
    </row>
    <row r="3449">
      <c r="A3449" s="3" t="s">
        <v>3214</v>
      </c>
      <c r="B3449" s="3" t="s">
        <v>3273</v>
      </c>
      <c r="C3449" s="3" t="s">
        <v>3345</v>
      </c>
      <c r="D3449" s="4" t="str">
        <f t="shared" si="194"/>
        <v>12Go Link</v>
      </c>
      <c r="E3449" s="3" t="s">
        <v>3197</v>
      </c>
      <c r="K3449" s="5"/>
    </row>
    <row r="3450">
      <c r="A3450" s="3" t="s">
        <v>3214</v>
      </c>
      <c r="B3450" s="3" t="s">
        <v>3273</v>
      </c>
      <c r="C3450" s="3" t="s">
        <v>3346</v>
      </c>
      <c r="D3450" s="4" t="str">
        <f t="shared" ref="D3450:D3451" si="195">HYPERLINK("https://12go.asia/en/travel/Hurghada-Intl-Airport/Port-Ghalib-Hotel-Transfer", "12Go Link")</f>
        <v>12Go Link</v>
      </c>
      <c r="E3450" s="3" t="s">
        <v>3265</v>
      </c>
      <c r="K3450" s="5"/>
    </row>
    <row r="3451">
      <c r="A3451" s="3" t="s">
        <v>3214</v>
      </c>
      <c r="B3451" s="3" t="s">
        <v>3273</v>
      </c>
      <c r="C3451" s="3" t="s">
        <v>3346</v>
      </c>
      <c r="D3451" s="4" t="str">
        <f t="shared" si="195"/>
        <v>12Go Link</v>
      </c>
      <c r="E3451" s="3" t="s">
        <v>3196</v>
      </c>
      <c r="K3451" s="5"/>
    </row>
    <row r="3452">
      <c r="A3452" s="3" t="s">
        <v>3214</v>
      </c>
      <c r="B3452" s="3" t="s">
        <v>3273</v>
      </c>
      <c r="C3452" s="3" t="s">
        <v>3347</v>
      </c>
      <c r="D3452" s="4" t="str">
        <f t="shared" ref="D3452:D3455" si="196">HYPERLINK("https://12go.asia/en/travel/Makadi-Bay-Hotel-Transfer/Marsa-Alam-Airport", "12Go Link")</f>
        <v>12Go Link</v>
      </c>
      <c r="E3452" s="3" t="s">
        <v>3196</v>
      </c>
      <c r="K3452" s="5"/>
    </row>
    <row r="3453">
      <c r="A3453" s="3" t="s">
        <v>3214</v>
      </c>
      <c r="B3453" s="3" t="s">
        <v>3273</v>
      </c>
      <c r="C3453" s="3" t="s">
        <v>3347</v>
      </c>
      <c r="D3453" s="4" t="str">
        <f t="shared" si="196"/>
        <v>12Go Link</v>
      </c>
      <c r="E3453" s="3" t="s">
        <v>3203</v>
      </c>
      <c r="K3453" s="5"/>
    </row>
    <row r="3454">
      <c r="A3454" s="3" t="s">
        <v>3214</v>
      </c>
      <c r="B3454" s="3" t="s">
        <v>3273</v>
      </c>
      <c r="C3454" s="3" t="s">
        <v>3347</v>
      </c>
      <c r="D3454" s="4" t="str">
        <f t="shared" si="196"/>
        <v>12Go Link</v>
      </c>
      <c r="E3454" s="3" t="s">
        <v>228</v>
      </c>
      <c r="K3454" s="5"/>
    </row>
    <row r="3455">
      <c r="A3455" s="3" t="s">
        <v>3214</v>
      </c>
      <c r="B3455" s="3" t="s">
        <v>3273</v>
      </c>
      <c r="C3455" s="3" t="s">
        <v>3347</v>
      </c>
      <c r="D3455" s="4" t="str">
        <f t="shared" si="196"/>
        <v>12Go Link</v>
      </c>
      <c r="E3455" s="3" t="s">
        <v>3197</v>
      </c>
      <c r="K3455" s="5"/>
    </row>
    <row r="3456">
      <c r="A3456" s="3" t="s">
        <v>3214</v>
      </c>
      <c r="B3456" s="3" t="s">
        <v>3273</v>
      </c>
      <c r="C3456" s="3" t="s">
        <v>3348</v>
      </c>
      <c r="D3456" s="4" t="str">
        <f t="shared" ref="D3456:D3459" si="197">HYPERLINK("https://12go.asia/en/travel/Sahl-Hasheesh-Hotel-Transfer/Marsa-Alam-Airport", "12Go Link")</f>
        <v>12Go Link</v>
      </c>
      <c r="E3456" s="3" t="s">
        <v>3196</v>
      </c>
      <c r="K3456" s="5"/>
    </row>
    <row r="3457">
      <c r="A3457" s="3" t="s">
        <v>3214</v>
      </c>
      <c r="B3457" s="3" t="s">
        <v>3273</v>
      </c>
      <c r="C3457" s="3" t="s">
        <v>3348</v>
      </c>
      <c r="D3457" s="4" t="str">
        <f t="shared" si="197"/>
        <v>12Go Link</v>
      </c>
      <c r="E3457" s="3" t="s">
        <v>3203</v>
      </c>
      <c r="K3457" s="5"/>
    </row>
    <row r="3458">
      <c r="A3458" s="3" t="s">
        <v>3214</v>
      </c>
      <c r="B3458" s="3" t="s">
        <v>3273</v>
      </c>
      <c r="C3458" s="3" t="s">
        <v>3348</v>
      </c>
      <c r="D3458" s="4" t="str">
        <f t="shared" si="197"/>
        <v>12Go Link</v>
      </c>
      <c r="E3458" s="3" t="s">
        <v>228</v>
      </c>
      <c r="K3458" s="5"/>
    </row>
    <row r="3459">
      <c r="A3459" s="3" t="s">
        <v>3214</v>
      </c>
      <c r="B3459" s="3" t="s">
        <v>3273</v>
      </c>
      <c r="C3459" s="3" t="s">
        <v>3348</v>
      </c>
      <c r="D3459" s="4" t="str">
        <f t="shared" si="197"/>
        <v>12Go Link</v>
      </c>
      <c r="E3459" s="3" t="s">
        <v>3197</v>
      </c>
      <c r="K3459" s="5"/>
    </row>
    <row r="3460">
      <c r="A3460" s="3" t="s">
        <v>3214</v>
      </c>
      <c r="B3460" s="3" t="s">
        <v>3273</v>
      </c>
      <c r="C3460" s="3" t="s">
        <v>3349</v>
      </c>
      <c r="D3460" s="4" t="str">
        <f t="shared" ref="D3460:D3463" si="198">HYPERLINK("https://12go.asia/en/travel/Soma-Bay-Hotel-Transfer/Marsa-Alam-Airport", "12Go Link")</f>
        <v>12Go Link</v>
      </c>
      <c r="E3460" s="3" t="s">
        <v>3196</v>
      </c>
      <c r="K3460" s="5"/>
    </row>
    <row r="3461">
      <c r="A3461" s="3" t="s">
        <v>3214</v>
      </c>
      <c r="B3461" s="3" t="s">
        <v>3273</v>
      </c>
      <c r="C3461" s="3" t="s">
        <v>3349</v>
      </c>
      <c r="D3461" s="4" t="str">
        <f t="shared" si="198"/>
        <v>12Go Link</v>
      </c>
      <c r="E3461" s="3" t="s">
        <v>3203</v>
      </c>
      <c r="K3461" s="5"/>
    </row>
    <row r="3462">
      <c r="A3462" s="3" t="s">
        <v>3214</v>
      </c>
      <c r="B3462" s="3" t="s">
        <v>3273</v>
      </c>
      <c r="C3462" s="3" t="s">
        <v>3349</v>
      </c>
      <c r="D3462" s="4" t="str">
        <f t="shared" si="198"/>
        <v>12Go Link</v>
      </c>
      <c r="E3462" s="3" t="s">
        <v>228</v>
      </c>
      <c r="K3462" s="5"/>
    </row>
    <row r="3463">
      <c r="A3463" s="3" t="s">
        <v>3214</v>
      </c>
      <c r="B3463" s="3" t="s">
        <v>3273</v>
      </c>
      <c r="C3463" s="3" t="s">
        <v>3349</v>
      </c>
      <c r="D3463" s="4" t="str">
        <f t="shared" si="198"/>
        <v>12Go Link</v>
      </c>
      <c r="E3463" s="3" t="s">
        <v>3197</v>
      </c>
      <c r="K3463" s="5"/>
    </row>
    <row r="3464">
      <c r="A3464" s="3" t="s">
        <v>3214</v>
      </c>
      <c r="B3464" s="3" t="s">
        <v>3350</v>
      </c>
      <c r="C3464" s="3" t="s">
        <v>3351</v>
      </c>
      <c r="D3464" s="4" t="str">
        <f t="shared" ref="D3464:D3465" si="199">HYPERLINK("https://12go.asia/en/travel/Hurghada-Intl-Airport/Magic-Life-Club-Kalawy-Imperial-Resort", "12Go Link")</f>
        <v>12Go Link</v>
      </c>
      <c r="E3464" s="3" t="s">
        <v>3265</v>
      </c>
      <c r="K3464" s="5"/>
    </row>
    <row r="3465">
      <c r="A3465" s="3" t="s">
        <v>3214</v>
      </c>
      <c r="B3465" s="3" t="s">
        <v>3350</v>
      </c>
      <c r="C3465" s="3" t="s">
        <v>3351</v>
      </c>
      <c r="D3465" s="4" t="str">
        <f t="shared" si="199"/>
        <v>12Go Link</v>
      </c>
      <c r="E3465" s="3" t="s">
        <v>3196</v>
      </c>
      <c r="K3465" s="5"/>
    </row>
    <row r="3466">
      <c r="A3466" s="3" t="s">
        <v>3214</v>
      </c>
      <c r="B3466" s="3" t="s">
        <v>3350</v>
      </c>
      <c r="C3466" s="3" t="s">
        <v>3352</v>
      </c>
      <c r="D3466" s="4" t="str">
        <f t="shared" ref="D3466:D3467" si="200">HYPERLINK("https://12go.asia/en/travel/Hurghada-Intl-Airport/Safaga-Hotel-Transfer", "12Go Link")</f>
        <v>12Go Link</v>
      </c>
      <c r="E3466" s="3" t="s">
        <v>3265</v>
      </c>
      <c r="K3466" s="5"/>
    </row>
    <row r="3467">
      <c r="A3467" s="3" t="s">
        <v>3214</v>
      </c>
      <c r="B3467" s="3" t="s">
        <v>3350</v>
      </c>
      <c r="C3467" s="3" t="s">
        <v>3352</v>
      </c>
      <c r="D3467" s="4" t="str">
        <f t="shared" si="200"/>
        <v>12Go Link</v>
      </c>
      <c r="E3467" s="3" t="s">
        <v>3196</v>
      </c>
      <c r="K3467" s="5"/>
    </row>
    <row r="3468">
      <c r="A3468" s="3" t="s">
        <v>3267</v>
      </c>
      <c r="B3468" s="3" t="s">
        <v>3192</v>
      </c>
      <c r="C3468" s="3" t="s">
        <v>3353</v>
      </c>
      <c r="D3468" s="4" t="str">
        <f t="shared" ref="D3468:D3471" si="201">HYPERLINK("https://12go.asia/en/travel/Ismailia-Hotel-Transfer/Cairo-Hotel-Transfer", "12Go Link")</f>
        <v>12Go Link</v>
      </c>
      <c r="E3468" s="3" t="s">
        <v>3194</v>
      </c>
      <c r="K3468" s="5"/>
    </row>
    <row r="3469">
      <c r="A3469" s="3" t="s">
        <v>3267</v>
      </c>
      <c r="B3469" s="3" t="s">
        <v>3192</v>
      </c>
      <c r="C3469" s="3" t="s">
        <v>3353</v>
      </c>
      <c r="D3469" s="4" t="str">
        <f t="shared" si="201"/>
        <v>12Go Link</v>
      </c>
      <c r="E3469" s="3" t="s">
        <v>3195</v>
      </c>
      <c r="K3469" s="5"/>
    </row>
    <row r="3470">
      <c r="A3470" s="3" t="s">
        <v>3267</v>
      </c>
      <c r="B3470" s="3" t="s">
        <v>3192</v>
      </c>
      <c r="C3470" s="3" t="s">
        <v>3353</v>
      </c>
      <c r="D3470" s="4" t="str">
        <f t="shared" si="201"/>
        <v>12Go Link</v>
      </c>
      <c r="E3470" s="3" t="s">
        <v>3196</v>
      </c>
      <c r="K3470" s="5"/>
    </row>
    <row r="3471">
      <c r="A3471" s="3" t="s">
        <v>3267</v>
      </c>
      <c r="B3471" s="3" t="s">
        <v>3192</v>
      </c>
      <c r="C3471" s="3" t="s">
        <v>3353</v>
      </c>
      <c r="D3471" s="4" t="str">
        <f t="shared" si="201"/>
        <v>12Go Link</v>
      </c>
      <c r="E3471" s="3" t="s">
        <v>3197</v>
      </c>
      <c r="K3471" s="5"/>
    </row>
    <row r="3472">
      <c r="A3472" s="3" t="s">
        <v>3267</v>
      </c>
      <c r="B3472" s="3" t="s">
        <v>3192</v>
      </c>
      <c r="C3472" s="3" t="s">
        <v>3354</v>
      </c>
      <c r="D3472" s="4" t="str">
        <f t="shared" ref="D3472:D3475" si="202">HYPERLINK("https://12go.asia/en/travel/Ismailia-Hotel-Transfer/Cairo-International-Airport", "12Go Link")</f>
        <v>12Go Link</v>
      </c>
      <c r="E3472" s="3" t="s">
        <v>3194</v>
      </c>
      <c r="K3472" s="5"/>
    </row>
    <row r="3473">
      <c r="A3473" s="3" t="s">
        <v>3267</v>
      </c>
      <c r="B3473" s="3" t="s">
        <v>3192</v>
      </c>
      <c r="C3473" s="3" t="s">
        <v>3354</v>
      </c>
      <c r="D3473" s="4" t="str">
        <f t="shared" si="202"/>
        <v>12Go Link</v>
      </c>
      <c r="E3473" s="3" t="s">
        <v>3195</v>
      </c>
      <c r="K3473" s="5"/>
    </row>
    <row r="3474">
      <c r="A3474" s="3" t="s">
        <v>3267</v>
      </c>
      <c r="B3474" s="3" t="s">
        <v>3192</v>
      </c>
      <c r="C3474" s="3" t="s">
        <v>3354</v>
      </c>
      <c r="D3474" s="4" t="str">
        <f t="shared" si="202"/>
        <v>12Go Link</v>
      </c>
      <c r="E3474" s="3" t="s">
        <v>3196</v>
      </c>
      <c r="K3474" s="5"/>
    </row>
    <row r="3475">
      <c r="A3475" s="3" t="s">
        <v>3267</v>
      </c>
      <c r="B3475" s="3" t="s">
        <v>3192</v>
      </c>
      <c r="C3475" s="3" t="s">
        <v>3354</v>
      </c>
      <c r="D3475" s="4" t="str">
        <f t="shared" si="202"/>
        <v>12Go Link</v>
      </c>
      <c r="E3475" s="3" t="s">
        <v>3197</v>
      </c>
      <c r="K3475" s="5"/>
    </row>
    <row r="3476">
      <c r="A3476" s="3" t="s">
        <v>3219</v>
      </c>
      <c r="B3476" s="3" t="s">
        <v>3209</v>
      </c>
      <c r="C3476" s="3" t="s">
        <v>3355</v>
      </c>
      <c r="D3476" s="4" t="str">
        <f t="shared" ref="D3476:D3479" si="203">HYPERLINK("https://12go.asia/en/travel/Luxor-Hotel-Transfer/Aswan-Airport", "12Go Link")</f>
        <v>12Go Link</v>
      </c>
      <c r="E3476" s="3" t="s">
        <v>3196</v>
      </c>
      <c r="K3476" s="5"/>
    </row>
    <row r="3477">
      <c r="A3477" s="3" t="s">
        <v>3219</v>
      </c>
      <c r="B3477" s="3" t="s">
        <v>3209</v>
      </c>
      <c r="C3477" s="3" t="s">
        <v>3355</v>
      </c>
      <c r="D3477" s="4" t="str">
        <f t="shared" si="203"/>
        <v>12Go Link</v>
      </c>
      <c r="E3477" s="3" t="s">
        <v>3203</v>
      </c>
      <c r="K3477" s="5"/>
    </row>
    <row r="3478">
      <c r="A3478" s="3" t="s">
        <v>3219</v>
      </c>
      <c r="B3478" s="3" t="s">
        <v>3209</v>
      </c>
      <c r="C3478" s="3" t="s">
        <v>3355</v>
      </c>
      <c r="D3478" s="4" t="str">
        <f t="shared" si="203"/>
        <v>12Go Link</v>
      </c>
      <c r="E3478" s="3" t="s">
        <v>228</v>
      </c>
      <c r="K3478" s="5"/>
    </row>
    <row r="3479">
      <c r="A3479" s="3" t="s">
        <v>3219</v>
      </c>
      <c r="B3479" s="3" t="s">
        <v>3209</v>
      </c>
      <c r="C3479" s="3" t="s">
        <v>3355</v>
      </c>
      <c r="D3479" s="4" t="str">
        <f t="shared" si="203"/>
        <v>12Go Link</v>
      </c>
      <c r="E3479" s="3" t="s">
        <v>3197</v>
      </c>
      <c r="K3479" s="5"/>
    </row>
    <row r="3480">
      <c r="A3480" s="3" t="s">
        <v>3219</v>
      </c>
      <c r="B3480" s="3" t="s">
        <v>3209</v>
      </c>
      <c r="C3480" s="3" t="s">
        <v>3356</v>
      </c>
      <c r="D3480" s="4" t="str">
        <f t="shared" ref="D3480:D3483" si="204">HYPERLINK("https://12go.asia/en/travel/Luxor-International-Airport/Aswan-Airport", "12Go Link")</f>
        <v>12Go Link</v>
      </c>
      <c r="E3480" s="3" t="s">
        <v>3196</v>
      </c>
      <c r="K3480" s="5"/>
    </row>
    <row r="3481">
      <c r="A3481" s="3" t="s">
        <v>3219</v>
      </c>
      <c r="B3481" s="3" t="s">
        <v>3209</v>
      </c>
      <c r="C3481" s="3" t="s">
        <v>3356</v>
      </c>
      <c r="D3481" s="4" t="str">
        <f t="shared" si="204"/>
        <v>12Go Link</v>
      </c>
      <c r="E3481" s="3" t="s">
        <v>3203</v>
      </c>
      <c r="K3481" s="5"/>
    </row>
    <row r="3482">
      <c r="A3482" s="3" t="s">
        <v>3219</v>
      </c>
      <c r="B3482" s="3" t="s">
        <v>3209</v>
      </c>
      <c r="C3482" s="3" t="s">
        <v>3356</v>
      </c>
      <c r="D3482" s="4" t="str">
        <f t="shared" si="204"/>
        <v>12Go Link</v>
      </c>
      <c r="E3482" s="3" t="s">
        <v>228</v>
      </c>
      <c r="K3482" s="5"/>
    </row>
    <row r="3483">
      <c r="A3483" s="3" t="s">
        <v>3219</v>
      </c>
      <c r="B3483" s="3" t="s">
        <v>3209</v>
      </c>
      <c r="C3483" s="3" t="s">
        <v>3356</v>
      </c>
      <c r="D3483" s="4" t="str">
        <f t="shared" si="204"/>
        <v>12Go Link</v>
      </c>
      <c r="E3483" s="3" t="s">
        <v>3197</v>
      </c>
      <c r="K3483" s="5"/>
    </row>
    <row r="3484">
      <c r="A3484" s="3" t="s">
        <v>3219</v>
      </c>
      <c r="B3484" s="3" t="s">
        <v>3209</v>
      </c>
      <c r="C3484" s="3" t="s">
        <v>3357</v>
      </c>
      <c r="D3484" s="4" t="str">
        <f t="shared" ref="D3484:D3487" si="205">HYPERLINK("https://12go.asia/en/travel/Luxor-International-Airport/Aswan-Hotel-Transfer", "12Go Link")</f>
        <v>12Go Link</v>
      </c>
      <c r="E3484" s="3" t="s">
        <v>3196</v>
      </c>
      <c r="K3484" s="5"/>
    </row>
    <row r="3485">
      <c r="A3485" s="3" t="s">
        <v>3219</v>
      </c>
      <c r="B3485" s="3" t="s">
        <v>3209</v>
      </c>
      <c r="C3485" s="3" t="s">
        <v>3357</v>
      </c>
      <c r="D3485" s="4" t="str">
        <f t="shared" si="205"/>
        <v>12Go Link</v>
      </c>
      <c r="E3485" s="3" t="s">
        <v>3203</v>
      </c>
      <c r="K3485" s="5"/>
    </row>
    <row r="3486">
      <c r="A3486" s="3" t="s">
        <v>3219</v>
      </c>
      <c r="B3486" s="3" t="s">
        <v>3209</v>
      </c>
      <c r="C3486" s="3" t="s">
        <v>3357</v>
      </c>
      <c r="D3486" s="4" t="str">
        <f t="shared" si="205"/>
        <v>12Go Link</v>
      </c>
      <c r="E3486" s="3" t="s">
        <v>228</v>
      </c>
      <c r="K3486" s="5"/>
    </row>
    <row r="3487">
      <c r="A3487" s="3" t="s">
        <v>3219</v>
      </c>
      <c r="B3487" s="3" t="s">
        <v>3209</v>
      </c>
      <c r="C3487" s="3" t="s">
        <v>3357</v>
      </c>
      <c r="D3487" s="4" t="str">
        <f t="shared" si="205"/>
        <v>12Go Link</v>
      </c>
      <c r="E3487" s="3" t="s">
        <v>3197</v>
      </c>
      <c r="K3487" s="5"/>
    </row>
    <row r="3488">
      <c r="A3488" s="3" t="s">
        <v>3219</v>
      </c>
      <c r="B3488" s="3" t="s">
        <v>3192</v>
      </c>
      <c r="C3488" s="3" t="s">
        <v>3358</v>
      </c>
      <c r="D3488" s="4" t="str">
        <f t="shared" ref="D3488:D3491" si="206">HYPERLINK("https://12go.asia/en/travel/Luxor-Hotel-Transfer/Cairo-Hotel-Transfer", "12Go Link")</f>
        <v>12Go Link</v>
      </c>
      <c r="E3488" s="3" t="s">
        <v>3194</v>
      </c>
      <c r="K3488" s="5"/>
    </row>
    <row r="3489">
      <c r="A3489" s="3" t="s">
        <v>3219</v>
      </c>
      <c r="B3489" s="3" t="s">
        <v>3192</v>
      </c>
      <c r="C3489" s="3" t="s">
        <v>3358</v>
      </c>
      <c r="D3489" s="4" t="str">
        <f t="shared" si="206"/>
        <v>12Go Link</v>
      </c>
      <c r="E3489" s="3" t="s">
        <v>3195</v>
      </c>
      <c r="K3489" s="5"/>
    </row>
    <row r="3490">
      <c r="A3490" s="3" t="s">
        <v>3219</v>
      </c>
      <c r="B3490" s="3" t="s">
        <v>3192</v>
      </c>
      <c r="C3490" s="3" t="s">
        <v>3358</v>
      </c>
      <c r="D3490" s="4" t="str">
        <f t="shared" si="206"/>
        <v>12Go Link</v>
      </c>
      <c r="E3490" s="3" t="s">
        <v>3196</v>
      </c>
      <c r="K3490" s="5"/>
    </row>
    <row r="3491">
      <c r="A3491" s="3" t="s">
        <v>3219</v>
      </c>
      <c r="B3491" s="3" t="s">
        <v>3192</v>
      </c>
      <c r="C3491" s="3" t="s">
        <v>3358</v>
      </c>
      <c r="D3491" s="4" t="str">
        <f t="shared" si="206"/>
        <v>12Go Link</v>
      </c>
      <c r="E3491" s="3" t="s">
        <v>3197</v>
      </c>
      <c r="K3491" s="5"/>
    </row>
    <row r="3492">
      <c r="A3492" s="3" t="s">
        <v>3219</v>
      </c>
      <c r="B3492" s="3" t="s">
        <v>3192</v>
      </c>
      <c r="C3492" s="3" t="s">
        <v>3359</v>
      </c>
      <c r="D3492" s="4" t="str">
        <f t="shared" ref="D3492:D3495" si="207">HYPERLINK("https://12go.asia/en/travel/Luxor-Hotel-Transfer/Cairo-International-Airport", "12Go Link")</f>
        <v>12Go Link</v>
      </c>
      <c r="E3492" s="3" t="s">
        <v>3194</v>
      </c>
      <c r="K3492" s="5"/>
    </row>
    <row r="3493">
      <c r="A3493" s="3" t="s">
        <v>3219</v>
      </c>
      <c r="B3493" s="3" t="s">
        <v>3192</v>
      </c>
      <c r="C3493" s="3" t="s">
        <v>3359</v>
      </c>
      <c r="D3493" s="4" t="str">
        <f t="shared" si="207"/>
        <v>12Go Link</v>
      </c>
      <c r="E3493" s="3" t="s">
        <v>3195</v>
      </c>
      <c r="K3493" s="5"/>
    </row>
    <row r="3494">
      <c r="A3494" s="3" t="s">
        <v>3219</v>
      </c>
      <c r="B3494" s="3" t="s">
        <v>3192</v>
      </c>
      <c r="C3494" s="3" t="s">
        <v>3359</v>
      </c>
      <c r="D3494" s="4" t="str">
        <f t="shared" si="207"/>
        <v>12Go Link</v>
      </c>
      <c r="E3494" s="3" t="s">
        <v>3196</v>
      </c>
      <c r="K3494" s="5"/>
    </row>
    <row r="3495">
      <c r="A3495" s="3" t="s">
        <v>3219</v>
      </c>
      <c r="B3495" s="3" t="s">
        <v>3192</v>
      </c>
      <c r="C3495" s="3" t="s">
        <v>3359</v>
      </c>
      <c r="D3495" s="4" t="str">
        <f t="shared" si="207"/>
        <v>12Go Link</v>
      </c>
      <c r="E3495" s="3" t="s">
        <v>3197</v>
      </c>
      <c r="K3495" s="5"/>
    </row>
    <row r="3496">
      <c r="A3496" s="3" t="s">
        <v>3219</v>
      </c>
      <c r="B3496" s="3" t="s">
        <v>3192</v>
      </c>
      <c r="C3496" s="3" t="s">
        <v>3360</v>
      </c>
      <c r="D3496" s="4" t="str">
        <f t="shared" ref="D3496:D3499" si="208">HYPERLINK("https://12go.asia/en/travel/Luxor-International-Airport/Cairo-Hotel-Transfer", "12Go Link")</f>
        <v>12Go Link</v>
      </c>
      <c r="E3496" s="3" t="s">
        <v>3196</v>
      </c>
      <c r="K3496" s="5"/>
    </row>
    <row r="3497">
      <c r="A3497" s="3" t="s">
        <v>3219</v>
      </c>
      <c r="B3497" s="3" t="s">
        <v>3192</v>
      </c>
      <c r="C3497" s="3" t="s">
        <v>3360</v>
      </c>
      <c r="D3497" s="4" t="str">
        <f t="shared" si="208"/>
        <v>12Go Link</v>
      </c>
      <c r="E3497" s="3" t="s">
        <v>3203</v>
      </c>
      <c r="K3497" s="5"/>
    </row>
    <row r="3498">
      <c r="A3498" s="3" t="s">
        <v>3219</v>
      </c>
      <c r="B3498" s="3" t="s">
        <v>3192</v>
      </c>
      <c r="C3498" s="3" t="s">
        <v>3360</v>
      </c>
      <c r="D3498" s="4" t="str">
        <f t="shared" si="208"/>
        <v>12Go Link</v>
      </c>
      <c r="E3498" s="3" t="s">
        <v>228</v>
      </c>
      <c r="K3498" s="5"/>
    </row>
    <row r="3499">
      <c r="A3499" s="3" t="s">
        <v>3219</v>
      </c>
      <c r="B3499" s="3" t="s">
        <v>3192</v>
      </c>
      <c r="C3499" s="3" t="s">
        <v>3360</v>
      </c>
      <c r="D3499" s="4" t="str">
        <f t="shared" si="208"/>
        <v>12Go Link</v>
      </c>
      <c r="E3499" s="3" t="s">
        <v>3197</v>
      </c>
      <c r="K3499" s="5"/>
    </row>
    <row r="3500">
      <c r="A3500" s="3" t="s">
        <v>3219</v>
      </c>
      <c r="B3500" s="3" t="s">
        <v>3212</v>
      </c>
      <c r="C3500" s="3" t="s">
        <v>3361</v>
      </c>
      <c r="D3500" s="4" t="str">
        <f t="shared" ref="D3500:D3501" si="209">HYPERLINK("https://12go.asia/en/travel/Luxor-International-Airport/Edfu-Hotel-Transfer", "12Go Link")</f>
        <v>12Go Link</v>
      </c>
      <c r="E3500" s="3" t="s">
        <v>228</v>
      </c>
      <c r="K3500" s="5"/>
    </row>
    <row r="3501">
      <c r="A3501" s="3" t="s">
        <v>3219</v>
      </c>
      <c r="B3501" s="3" t="s">
        <v>3212</v>
      </c>
      <c r="C3501" s="3" t="s">
        <v>3361</v>
      </c>
      <c r="D3501" s="4" t="str">
        <f t="shared" si="209"/>
        <v>12Go Link</v>
      </c>
      <c r="E3501" s="3" t="s">
        <v>3197</v>
      </c>
      <c r="K3501" s="5"/>
    </row>
    <row r="3502">
      <c r="A3502" s="3" t="s">
        <v>3219</v>
      </c>
      <c r="B3502" s="3" t="s">
        <v>3305</v>
      </c>
      <c r="C3502" s="3" t="s">
        <v>3362</v>
      </c>
      <c r="D3502" s="4" t="str">
        <f t="shared" ref="D3502:D3505" si="210">HYPERLINK("https://12go.asia/en/travel/Luxor-International-Airport/El-Qoseir-Hotel-Transfer", "12Go Link")</f>
        <v>12Go Link</v>
      </c>
      <c r="E3502" s="3" t="s">
        <v>3196</v>
      </c>
      <c r="K3502" s="5"/>
    </row>
    <row r="3503">
      <c r="A3503" s="3" t="s">
        <v>3219</v>
      </c>
      <c r="B3503" s="3" t="s">
        <v>3305</v>
      </c>
      <c r="C3503" s="3" t="s">
        <v>3362</v>
      </c>
      <c r="D3503" s="4" t="str">
        <f t="shared" si="210"/>
        <v>12Go Link</v>
      </c>
      <c r="E3503" s="3" t="s">
        <v>3203</v>
      </c>
      <c r="K3503" s="5"/>
    </row>
    <row r="3504">
      <c r="A3504" s="3" t="s">
        <v>3219</v>
      </c>
      <c r="B3504" s="3" t="s">
        <v>3305</v>
      </c>
      <c r="C3504" s="3" t="s">
        <v>3362</v>
      </c>
      <c r="D3504" s="4" t="str">
        <f t="shared" si="210"/>
        <v>12Go Link</v>
      </c>
      <c r="E3504" s="3" t="s">
        <v>228</v>
      </c>
      <c r="K3504" s="5"/>
    </row>
    <row r="3505">
      <c r="A3505" s="3" t="s">
        <v>3219</v>
      </c>
      <c r="B3505" s="3" t="s">
        <v>3305</v>
      </c>
      <c r="C3505" s="3" t="s">
        <v>3362</v>
      </c>
      <c r="D3505" s="4" t="str">
        <f t="shared" si="210"/>
        <v>12Go Link</v>
      </c>
      <c r="E3505" s="3" t="s">
        <v>3197</v>
      </c>
      <c r="K3505" s="5"/>
    </row>
    <row r="3506">
      <c r="A3506" s="3" t="s">
        <v>3219</v>
      </c>
      <c r="B3506" s="3" t="s">
        <v>3214</v>
      </c>
      <c r="C3506" s="3" t="s">
        <v>3363</v>
      </c>
      <c r="D3506" s="4" t="str">
        <f t="shared" ref="D3506:D3507" si="211">HYPERLINK("https://12go.asia/en/travel/Luxor-Hotel-Transfer/Hurghada-Intl-Airport", "12Go Link")</f>
        <v>12Go Link</v>
      </c>
      <c r="E3506" s="3" t="s">
        <v>3265</v>
      </c>
      <c r="K3506" s="5"/>
    </row>
    <row r="3507">
      <c r="A3507" s="3" t="s">
        <v>3219</v>
      </c>
      <c r="B3507" s="3" t="s">
        <v>3214</v>
      </c>
      <c r="C3507" s="3" t="s">
        <v>3363</v>
      </c>
      <c r="D3507" s="4" t="str">
        <f t="shared" si="211"/>
        <v>12Go Link</v>
      </c>
      <c r="E3507" s="3" t="s">
        <v>3196</v>
      </c>
      <c r="K3507" s="5"/>
    </row>
    <row r="3508">
      <c r="A3508" s="3" t="s">
        <v>3219</v>
      </c>
      <c r="B3508" s="3" t="s">
        <v>3214</v>
      </c>
      <c r="C3508" s="3" t="s">
        <v>3364</v>
      </c>
      <c r="D3508" s="4" t="str">
        <f t="shared" ref="D3508:D3511" si="212">HYPERLINK("https://12go.asia/en/travel/Luxor-International-Airport/El-Gouna-Hotel-Transfer", "12Go Link")</f>
        <v>12Go Link</v>
      </c>
      <c r="E3508" s="3" t="s">
        <v>3196</v>
      </c>
      <c r="K3508" s="5"/>
    </row>
    <row r="3509">
      <c r="A3509" s="3" t="s">
        <v>3219</v>
      </c>
      <c r="B3509" s="3" t="s">
        <v>3214</v>
      </c>
      <c r="C3509" s="3" t="s">
        <v>3364</v>
      </c>
      <c r="D3509" s="4" t="str">
        <f t="shared" si="212"/>
        <v>12Go Link</v>
      </c>
      <c r="E3509" s="3" t="s">
        <v>3203</v>
      </c>
      <c r="K3509" s="5"/>
    </row>
    <row r="3510">
      <c r="A3510" s="3" t="s">
        <v>3219</v>
      </c>
      <c r="B3510" s="3" t="s">
        <v>3214</v>
      </c>
      <c r="C3510" s="3" t="s">
        <v>3364</v>
      </c>
      <c r="D3510" s="4" t="str">
        <f t="shared" si="212"/>
        <v>12Go Link</v>
      </c>
      <c r="E3510" s="3" t="s">
        <v>228</v>
      </c>
      <c r="K3510" s="5"/>
    </row>
    <row r="3511">
      <c r="A3511" s="3" t="s">
        <v>3219</v>
      </c>
      <c r="B3511" s="3" t="s">
        <v>3214</v>
      </c>
      <c r="C3511" s="3" t="s">
        <v>3364</v>
      </c>
      <c r="D3511" s="4" t="str">
        <f t="shared" si="212"/>
        <v>12Go Link</v>
      </c>
      <c r="E3511" s="3" t="s">
        <v>3197</v>
      </c>
      <c r="K3511" s="5"/>
    </row>
    <row r="3512">
      <c r="A3512" s="3" t="s">
        <v>3219</v>
      </c>
      <c r="B3512" s="3" t="s">
        <v>3214</v>
      </c>
      <c r="C3512" s="3" t="s">
        <v>3365</v>
      </c>
      <c r="D3512" s="4" t="str">
        <f t="shared" ref="D3512:D3515" si="213">HYPERLINK("https://12go.asia/en/travel/Luxor-International-Airport/Hurghada-Hotel-Transfer", "12Go Link")</f>
        <v>12Go Link</v>
      </c>
      <c r="E3512" s="3" t="s">
        <v>3196</v>
      </c>
      <c r="K3512" s="5"/>
    </row>
    <row r="3513">
      <c r="A3513" s="3" t="s">
        <v>3219</v>
      </c>
      <c r="B3513" s="3" t="s">
        <v>3214</v>
      </c>
      <c r="C3513" s="3" t="s">
        <v>3365</v>
      </c>
      <c r="D3513" s="4" t="str">
        <f t="shared" si="213"/>
        <v>12Go Link</v>
      </c>
      <c r="E3513" s="3" t="s">
        <v>3203</v>
      </c>
      <c r="K3513" s="5"/>
    </row>
    <row r="3514">
      <c r="A3514" s="3" t="s">
        <v>3219</v>
      </c>
      <c r="B3514" s="3" t="s">
        <v>3214</v>
      </c>
      <c r="C3514" s="3" t="s">
        <v>3365</v>
      </c>
      <c r="D3514" s="4" t="str">
        <f t="shared" si="213"/>
        <v>12Go Link</v>
      </c>
      <c r="E3514" s="3" t="s">
        <v>228</v>
      </c>
      <c r="K3514" s="5"/>
    </row>
    <row r="3515">
      <c r="A3515" s="3" t="s">
        <v>3219</v>
      </c>
      <c r="B3515" s="3" t="s">
        <v>3214</v>
      </c>
      <c r="C3515" s="3" t="s">
        <v>3365</v>
      </c>
      <c r="D3515" s="4" t="str">
        <f t="shared" si="213"/>
        <v>12Go Link</v>
      </c>
      <c r="E3515" s="3" t="s">
        <v>3197</v>
      </c>
      <c r="K3515" s="5"/>
    </row>
    <row r="3516">
      <c r="A3516" s="3" t="s">
        <v>3219</v>
      </c>
      <c r="B3516" s="3" t="s">
        <v>3214</v>
      </c>
      <c r="C3516" s="3" t="s">
        <v>3366</v>
      </c>
      <c r="D3516" s="4" t="str">
        <f t="shared" ref="D3516:D3519" si="214">HYPERLINK("https://12go.asia/en/travel/Luxor-International-Airport/Hurghada-Port", "12Go Link")</f>
        <v>12Go Link</v>
      </c>
      <c r="E3516" s="3" t="s">
        <v>3196</v>
      </c>
      <c r="K3516" s="5"/>
    </row>
    <row r="3517">
      <c r="A3517" s="3" t="s">
        <v>3219</v>
      </c>
      <c r="B3517" s="3" t="s">
        <v>3214</v>
      </c>
      <c r="C3517" s="3" t="s">
        <v>3366</v>
      </c>
      <c r="D3517" s="4" t="str">
        <f t="shared" si="214"/>
        <v>12Go Link</v>
      </c>
      <c r="E3517" s="3" t="s">
        <v>3203</v>
      </c>
      <c r="K3517" s="5"/>
    </row>
    <row r="3518">
      <c r="A3518" s="3" t="s">
        <v>3219</v>
      </c>
      <c r="B3518" s="3" t="s">
        <v>3214</v>
      </c>
      <c r="C3518" s="3" t="s">
        <v>3366</v>
      </c>
      <c r="D3518" s="4" t="str">
        <f t="shared" si="214"/>
        <v>12Go Link</v>
      </c>
      <c r="E3518" s="3" t="s">
        <v>228</v>
      </c>
      <c r="K3518" s="5"/>
    </row>
    <row r="3519">
      <c r="A3519" s="3" t="s">
        <v>3219</v>
      </c>
      <c r="B3519" s="3" t="s">
        <v>3214</v>
      </c>
      <c r="C3519" s="3" t="s">
        <v>3366</v>
      </c>
      <c r="D3519" s="4" t="str">
        <f t="shared" si="214"/>
        <v>12Go Link</v>
      </c>
      <c r="E3519" s="3" t="s">
        <v>3197</v>
      </c>
      <c r="K3519" s="5"/>
    </row>
    <row r="3520">
      <c r="A3520" s="3" t="s">
        <v>3219</v>
      </c>
      <c r="B3520" s="3" t="s">
        <v>3214</v>
      </c>
      <c r="C3520" s="3" t="s">
        <v>3367</v>
      </c>
      <c r="D3520" s="4" t="str">
        <f t="shared" ref="D3520:D3523" si="215">HYPERLINK("https://12go.asia/en/travel/Luxor-International-Airport/Makadi-Bay-Hotel-Transfer", "12Go Link")</f>
        <v>12Go Link</v>
      </c>
      <c r="E3520" s="3" t="s">
        <v>3196</v>
      </c>
      <c r="K3520" s="5"/>
    </row>
    <row r="3521">
      <c r="A3521" s="3" t="s">
        <v>3219</v>
      </c>
      <c r="B3521" s="3" t="s">
        <v>3214</v>
      </c>
      <c r="C3521" s="3" t="s">
        <v>3367</v>
      </c>
      <c r="D3521" s="4" t="str">
        <f t="shared" si="215"/>
        <v>12Go Link</v>
      </c>
      <c r="E3521" s="3" t="s">
        <v>3203</v>
      </c>
      <c r="K3521" s="5"/>
    </row>
    <row r="3522">
      <c r="A3522" s="3" t="s">
        <v>3219</v>
      </c>
      <c r="B3522" s="3" t="s">
        <v>3214</v>
      </c>
      <c r="C3522" s="3" t="s">
        <v>3367</v>
      </c>
      <c r="D3522" s="4" t="str">
        <f t="shared" si="215"/>
        <v>12Go Link</v>
      </c>
      <c r="E3522" s="3" t="s">
        <v>228</v>
      </c>
      <c r="K3522" s="5"/>
    </row>
    <row r="3523">
      <c r="A3523" s="3" t="s">
        <v>3219</v>
      </c>
      <c r="B3523" s="3" t="s">
        <v>3214</v>
      </c>
      <c r="C3523" s="3" t="s">
        <v>3367</v>
      </c>
      <c r="D3523" s="4" t="str">
        <f t="shared" si="215"/>
        <v>12Go Link</v>
      </c>
      <c r="E3523" s="3" t="s">
        <v>3197</v>
      </c>
      <c r="K3523" s="5"/>
    </row>
    <row r="3524">
      <c r="A3524" s="3" t="s">
        <v>3219</v>
      </c>
      <c r="B3524" s="3" t="s">
        <v>3214</v>
      </c>
      <c r="C3524" s="3" t="s">
        <v>3368</v>
      </c>
      <c r="D3524" s="4" t="str">
        <f t="shared" ref="D3524:D3527" si="216">HYPERLINK("https://12go.asia/en/travel/Luxor-International-Airport/Soma-Bay-Hotel-Transfer", "12Go Link")</f>
        <v>12Go Link</v>
      </c>
      <c r="E3524" s="3" t="s">
        <v>3196</v>
      </c>
      <c r="K3524" s="5"/>
    </row>
    <row r="3525">
      <c r="A3525" s="3" t="s">
        <v>3219</v>
      </c>
      <c r="B3525" s="3" t="s">
        <v>3214</v>
      </c>
      <c r="C3525" s="3" t="s">
        <v>3368</v>
      </c>
      <c r="D3525" s="4" t="str">
        <f t="shared" si="216"/>
        <v>12Go Link</v>
      </c>
      <c r="E3525" s="3" t="s">
        <v>3203</v>
      </c>
      <c r="K3525" s="5"/>
    </row>
    <row r="3526">
      <c r="A3526" s="3" t="s">
        <v>3219</v>
      </c>
      <c r="B3526" s="3" t="s">
        <v>3214</v>
      </c>
      <c r="C3526" s="3" t="s">
        <v>3368</v>
      </c>
      <c r="D3526" s="4" t="str">
        <f t="shared" si="216"/>
        <v>12Go Link</v>
      </c>
      <c r="E3526" s="3" t="s">
        <v>228</v>
      </c>
      <c r="K3526" s="5"/>
    </row>
    <row r="3527">
      <c r="A3527" s="3" t="s">
        <v>3219</v>
      </c>
      <c r="B3527" s="3" t="s">
        <v>3214</v>
      </c>
      <c r="C3527" s="3" t="s">
        <v>3368</v>
      </c>
      <c r="D3527" s="4" t="str">
        <f t="shared" si="216"/>
        <v>12Go Link</v>
      </c>
      <c r="E3527" s="3" t="s">
        <v>3197</v>
      </c>
      <c r="K3527" s="5"/>
    </row>
    <row r="3528">
      <c r="A3528" s="3" t="s">
        <v>3219</v>
      </c>
      <c r="B3528" s="3" t="s">
        <v>3219</v>
      </c>
      <c r="C3528" s="3" t="s">
        <v>3369</v>
      </c>
      <c r="D3528" s="4" t="str">
        <f t="shared" ref="D3528:D3531" si="217">HYPERLINK("https://12go.asia/en/travel/Luxor-Cruise-Port/Luxor-International-Airport", "12Go Link")</f>
        <v>12Go Link</v>
      </c>
      <c r="E3528" s="3" t="s">
        <v>3196</v>
      </c>
      <c r="K3528" s="5"/>
    </row>
    <row r="3529">
      <c r="A3529" s="3" t="s">
        <v>3219</v>
      </c>
      <c r="B3529" s="3" t="s">
        <v>3219</v>
      </c>
      <c r="C3529" s="3" t="s">
        <v>3369</v>
      </c>
      <c r="D3529" s="4" t="str">
        <f t="shared" si="217"/>
        <v>12Go Link</v>
      </c>
      <c r="E3529" s="3" t="s">
        <v>3203</v>
      </c>
      <c r="K3529" s="5"/>
    </row>
    <row r="3530">
      <c r="A3530" s="3" t="s">
        <v>3219</v>
      </c>
      <c r="B3530" s="3" t="s">
        <v>3219</v>
      </c>
      <c r="C3530" s="3" t="s">
        <v>3369</v>
      </c>
      <c r="D3530" s="4" t="str">
        <f t="shared" si="217"/>
        <v>12Go Link</v>
      </c>
      <c r="E3530" s="3" t="s">
        <v>228</v>
      </c>
      <c r="K3530" s="5"/>
    </row>
    <row r="3531">
      <c r="A3531" s="3" t="s">
        <v>3219</v>
      </c>
      <c r="B3531" s="3" t="s">
        <v>3219</v>
      </c>
      <c r="C3531" s="3" t="s">
        <v>3369</v>
      </c>
      <c r="D3531" s="4" t="str">
        <f t="shared" si="217"/>
        <v>12Go Link</v>
      </c>
      <c r="E3531" s="3" t="s">
        <v>3197</v>
      </c>
      <c r="K3531" s="5"/>
    </row>
    <row r="3532">
      <c r="A3532" s="3" t="s">
        <v>3219</v>
      </c>
      <c r="B3532" s="3" t="s">
        <v>3219</v>
      </c>
      <c r="C3532" s="3" t="s">
        <v>3370</v>
      </c>
      <c r="D3532" s="4" t="str">
        <f t="shared" ref="D3532:D3535" si="218">HYPERLINK("https://12go.asia/en/travel/Luxor-Hotel-Transfer/Luxor-International-Airport", "12Go Link")</f>
        <v>12Go Link</v>
      </c>
      <c r="E3532" s="3" t="s">
        <v>3196</v>
      </c>
      <c r="K3532" s="5"/>
    </row>
    <row r="3533">
      <c r="A3533" s="3" t="s">
        <v>3219</v>
      </c>
      <c r="B3533" s="3" t="s">
        <v>3219</v>
      </c>
      <c r="C3533" s="3" t="s">
        <v>3370</v>
      </c>
      <c r="D3533" s="4" t="str">
        <f t="shared" si="218"/>
        <v>12Go Link</v>
      </c>
      <c r="E3533" s="3" t="s">
        <v>3203</v>
      </c>
      <c r="K3533" s="5"/>
    </row>
    <row r="3534">
      <c r="A3534" s="3" t="s">
        <v>3219</v>
      </c>
      <c r="B3534" s="3" t="s">
        <v>3219</v>
      </c>
      <c r="C3534" s="3" t="s">
        <v>3370</v>
      </c>
      <c r="D3534" s="4" t="str">
        <f t="shared" si="218"/>
        <v>12Go Link</v>
      </c>
      <c r="E3534" s="3" t="s">
        <v>228</v>
      </c>
      <c r="K3534" s="5"/>
    </row>
    <row r="3535">
      <c r="A3535" s="3" t="s">
        <v>3219</v>
      </c>
      <c r="B3535" s="3" t="s">
        <v>3219</v>
      </c>
      <c r="C3535" s="3" t="s">
        <v>3370</v>
      </c>
      <c r="D3535" s="4" t="str">
        <f t="shared" si="218"/>
        <v>12Go Link</v>
      </c>
      <c r="E3535" s="3" t="s">
        <v>3197</v>
      </c>
      <c r="K3535" s="5"/>
    </row>
    <row r="3536">
      <c r="A3536" s="3" t="s">
        <v>3219</v>
      </c>
      <c r="B3536" s="3" t="s">
        <v>3219</v>
      </c>
      <c r="C3536" s="3" t="s">
        <v>3371</v>
      </c>
      <c r="D3536" s="4" t="str">
        <f t="shared" ref="D3536:D3539" si="219">HYPERLINK("https://12go.asia/en/travel/Luxor-International-Airport/Luxor-Cruise-Port", "12Go Link")</f>
        <v>12Go Link</v>
      </c>
      <c r="E3536" s="3" t="s">
        <v>3196</v>
      </c>
      <c r="K3536" s="5"/>
    </row>
    <row r="3537">
      <c r="A3537" s="3" t="s">
        <v>3219</v>
      </c>
      <c r="B3537" s="3" t="s">
        <v>3219</v>
      </c>
      <c r="C3537" s="3" t="s">
        <v>3371</v>
      </c>
      <c r="D3537" s="4" t="str">
        <f t="shared" si="219"/>
        <v>12Go Link</v>
      </c>
      <c r="E3537" s="3" t="s">
        <v>3203</v>
      </c>
      <c r="K3537" s="5"/>
    </row>
    <row r="3538">
      <c r="A3538" s="3" t="s">
        <v>3219</v>
      </c>
      <c r="B3538" s="3" t="s">
        <v>3219</v>
      </c>
      <c r="C3538" s="3" t="s">
        <v>3371</v>
      </c>
      <c r="D3538" s="4" t="str">
        <f t="shared" si="219"/>
        <v>12Go Link</v>
      </c>
      <c r="E3538" s="3" t="s">
        <v>228</v>
      </c>
      <c r="K3538" s="5"/>
    </row>
    <row r="3539">
      <c r="A3539" s="3" t="s">
        <v>3219</v>
      </c>
      <c r="B3539" s="3" t="s">
        <v>3219</v>
      </c>
      <c r="C3539" s="3" t="s">
        <v>3371</v>
      </c>
      <c r="D3539" s="4" t="str">
        <f t="shared" si="219"/>
        <v>12Go Link</v>
      </c>
      <c r="E3539" s="3" t="s">
        <v>3197</v>
      </c>
      <c r="K3539" s="5"/>
    </row>
    <row r="3540">
      <c r="A3540" s="3" t="s">
        <v>3219</v>
      </c>
      <c r="B3540" s="3" t="s">
        <v>3219</v>
      </c>
      <c r="C3540" s="3" t="s">
        <v>3372</v>
      </c>
      <c r="D3540" s="4" t="str">
        <f t="shared" ref="D3540:D3543" si="220">HYPERLINK("https://12go.asia/en/travel/Luxor-International-Airport/Luxor-Hotel-Transfer", "12Go Link")</f>
        <v>12Go Link</v>
      </c>
      <c r="E3540" s="3" t="s">
        <v>3196</v>
      </c>
      <c r="K3540" s="5"/>
    </row>
    <row r="3541">
      <c r="A3541" s="3" t="s">
        <v>3219</v>
      </c>
      <c r="B3541" s="3" t="s">
        <v>3219</v>
      </c>
      <c r="C3541" s="3" t="s">
        <v>3372</v>
      </c>
      <c r="D3541" s="4" t="str">
        <f t="shared" si="220"/>
        <v>12Go Link</v>
      </c>
      <c r="E3541" s="3" t="s">
        <v>3203</v>
      </c>
      <c r="K3541" s="5"/>
    </row>
    <row r="3542">
      <c r="A3542" s="3" t="s">
        <v>3219</v>
      </c>
      <c r="B3542" s="3" t="s">
        <v>3219</v>
      </c>
      <c r="C3542" s="3" t="s">
        <v>3372</v>
      </c>
      <c r="D3542" s="4" t="str">
        <f t="shared" si="220"/>
        <v>12Go Link</v>
      </c>
      <c r="E3542" s="3" t="s">
        <v>228</v>
      </c>
      <c r="K3542" s="5"/>
    </row>
    <row r="3543">
      <c r="A3543" s="3" t="s">
        <v>3219</v>
      </c>
      <c r="B3543" s="3" t="s">
        <v>3219</v>
      </c>
      <c r="C3543" s="3" t="s">
        <v>3372</v>
      </c>
      <c r="D3543" s="4" t="str">
        <f t="shared" si="220"/>
        <v>12Go Link</v>
      </c>
      <c r="E3543" s="3" t="s">
        <v>3197</v>
      </c>
      <c r="K3543" s="5"/>
    </row>
    <row r="3544">
      <c r="A3544" s="3" t="s">
        <v>3219</v>
      </c>
      <c r="B3544" s="3" t="s">
        <v>3219</v>
      </c>
      <c r="C3544" s="3" t="s">
        <v>3373</v>
      </c>
      <c r="D3544" s="4" t="str">
        <f t="shared" ref="D3544:D3547" si="221">HYPERLINK("https://12go.asia/en/travel/Luxor-International-Airport/Luxor-West-Bank-Transfer", "12Go Link")</f>
        <v>12Go Link</v>
      </c>
      <c r="E3544" s="3" t="s">
        <v>3196</v>
      </c>
      <c r="K3544" s="5"/>
    </row>
    <row r="3545">
      <c r="A3545" s="3" t="s">
        <v>3219</v>
      </c>
      <c r="B3545" s="3" t="s">
        <v>3219</v>
      </c>
      <c r="C3545" s="3" t="s">
        <v>3373</v>
      </c>
      <c r="D3545" s="4" t="str">
        <f t="shared" si="221"/>
        <v>12Go Link</v>
      </c>
      <c r="E3545" s="3" t="s">
        <v>3203</v>
      </c>
      <c r="K3545" s="5"/>
    </row>
    <row r="3546">
      <c r="A3546" s="3" t="s">
        <v>3219</v>
      </c>
      <c r="B3546" s="3" t="s">
        <v>3219</v>
      </c>
      <c r="C3546" s="3" t="s">
        <v>3373</v>
      </c>
      <c r="D3546" s="4" t="str">
        <f t="shared" si="221"/>
        <v>12Go Link</v>
      </c>
      <c r="E3546" s="3" t="s">
        <v>228</v>
      </c>
      <c r="K3546" s="5"/>
    </row>
    <row r="3547">
      <c r="A3547" s="3" t="s">
        <v>3219</v>
      </c>
      <c r="B3547" s="3" t="s">
        <v>3219</v>
      </c>
      <c r="C3547" s="3" t="s">
        <v>3373</v>
      </c>
      <c r="D3547" s="4" t="str">
        <f t="shared" si="221"/>
        <v>12Go Link</v>
      </c>
      <c r="E3547" s="3" t="s">
        <v>3197</v>
      </c>
      <c r="K3547" s="5"/>
    </row>
    <row r="3548">
      <c r="A3548" s="3" t="s">
        <v>3219</v>
      </c>
      <c r="B3548" s="3" t="s">
        <v>3219</v>
      </c>
      <c r="C3548" s="3" t="s">
        <v>3374</v>
      </c>
      <c r="D3548" s="4" t="str">
        <f t="shared" ref="D3548:D3551" si="222">HYPERLINK("https://12go.asia/en/travel/Luxor-West-Bank-Transfer/Luxor-International-Airport", "12Go Link")</f>
        <v>12Go Link</v>
      </c>
      <c r="E3548" s="3" t="s">
        <v>3196</v>
      </c>
      <c r="K3548" s="5"/>
    </row>
    <row r="3549">
      <c r="A3549" s="3" t="s">
        <v>3219</v>
      </c>
      <c r="B3549" s="3" t="s">
        <v>3219</v>
      </c>
      <c r="C3549" s="3" t="s">
        <v>3374</v>
      </c>
      <c r="D3549" s="4" t="str">
        <f t="shared" si="222"/>
        <v>12Go Link</v>
      </c>
      <c r="E3549" s="3" t="s">
        <v>3203</v>
      </c>
      <c r="K3549" s="5"/>
    </row>
    <row r="3550">
      <c r="A3550" s="3" t="s">
        <v>3219</v>
      </c>
      <c r="B3550" s="3" t="s">
        <v>3219</v>
      </c>
      <c r="C3550" s="3" t="s">
        <v>3374</v>
      </c>
      <c r="D3550" s="4" t="str">
        <f t="shared" si="222"/>
        <v>12Go Link</v>
      </c>
      <c r="E3550" s="3" t="s">
        <v>228</v>
      </c>
      <c r="K3550" s="5"/>
    </row>
    <row r="3551">
      <c r="A3551" s="3" t="s">
        <v>3219</v>
      </c>
      <c r="B3551" s="3" t="s">
        <v>3219</v>
      </c>
      <c r="C3551" s="3" t="s">
        <v>3374</v>
      </c>
      <c r="D3551" s="4" t="str">
        <f t="shared" si="222"/>
        <v>12Go Link</v>
      </c>
      <c r="E3551" s="3" t="s">
        <v>3197</v>
      </c>
      <c r="K3551" s="5"/>
    </row>
    <row r="3552">
      <c r="A3552" s="3" t="s">
        <v>3219</v>
      </c>
      <c r="B3552" s="3" t="s">
        <v>3273</v>
      </c>
      <c r="C3552" s="3" t="s">
        <v>3375</v>
      </c>
      <c r="D3552" s="4" t="str">
        <f t="shared" ref="D3552:D3555" si="223">HYPERLINK("https://12go.asia/en/travel/Luxor-Hotel-Transfer/Marsa-Alam-Airport", "12Go Link")</f>
        <v>12Go Link</v>
      </c>
      <c r="E3552" s="3" t="s">
        <v>3196</v>
      </c>
      <c r="K3552" s="5"/>
    </row>
    <row r="3553">
      <c r="A3553" s="3" t="s">
        <v>3219</v>
      </c>
      <c r="B3553" s="3" t="s">
        <v>3273</v>
      </c>
      <c r="C3553" s="3" t="s">
        <v>3375</v>
      </c>
      <c r="D3553" s="4" t="str">
        <f t="shared" si="223"/>
        <v>12Go Link</v>
      </c>
      <c r="E3553" s="3" t="s">
        <v>3203</v>
      </c>
      <c r="K3553" s="5"/>
    </row>
    <row r="3554">
      <c r="A3554" s="3" t="s">
        <v>3219</v>
      </c>
      <c r="B3554" s="3" t="s">
        <v>3273</v>
      </c>
      <c r="C3554" s="3" t="s">
        <v>3375</v>
      </c>
      <c r="D3554" s="4" t="str">
        <f t="shared" si="223"/>
        <v>12Go Link</v>
      </c>
      <c r="E3554" s="3" t="s">
        <v>228</v>
      </c>
      <c r="K3554" s="5"/>
    </row>
    <row r="3555">
      <c r="A3555" s="3" t="s">
        <v>3219</v>
      </c>
      <c r="B3555" s="3" t="s">
        <v>3273</v>
      </c>
      <c r="C3555" s="3" t="s">
        <v>3375</v>
      </c>
      <c r="D3555" s="4" t="str">
        <f t="shared" si="223"/>
        <v>12Go Link</v>
      </c>
      <c r="E3555" s="3" t="s">
        <v>3197</v>
      </c>
      <c r="K3555" s="5"/>
    </row>
    <row r="3556">
      <c r="A3556" s="3" t="s">
        <v>3219</v>
      </c>
      <c r="B3556" s="3" t="s">
        <v>3273</v>
      </c>
      <c r="C3556" s="3" t="s">
        <v>3376</v>
      </c>
      <c r="D3556" s="4" t="str">
        <f t="shared" ref="D3556:D3559" si="224">HYPERLINK("https://12go.asia/en/travel/Luxor-International-Airport/Abu-Dabbab-Hotel-Transfer", "12Go Link")</f>
        <v>12Go Link</v>
      </c>
      <c r="E3556" s="3" t="s">
        <v>3196</v>
      </c>
      <c r="K3556" s="5"/>
    </row>
    <row r="3557">
      <c r="A3557" s="3" t="s">
        <v>3219</v>
      </c>
      <c r="B3557" s="3" t="s">
        <v>3273</v>
      </c>
      <c r="C3557" s="3" t="s">
        <v>3376</v>
      </c>
      <c r="D3557" s="4" t="str">
        <f t="shared" si="224"/>
        <v>12Go Link</v>
      </c>
      <c r="E3557" s="3" t="s">
        <v>3203</v>
      </c>
      <c r="K3557" s="5"/>
    </row>
    <row r="3558">
      <c r="A3558" s="3" t="s">
        <v>3219</v>
      </c>
      <c r="B3558" s="3" t="s">
        <v>3273</v>
      </c>
      <c r="C3558" s="3" t="s">
        <v>3376</v>
      </c>
      <c r="D3558" s="4" t="str">
        <f t="shared" si="224"/>
        <v>12Go Link</v>
      </c>
      <c r="E3558" s="3" t="s">
        <v>228</v>
      </c>
      <c r="K3558" s="5"/>
    </row>
    <row r="3559">
      <c r="A3559" s="3" t="s">
        <v>3219</v>
      </c>
      <c r="B3559" s="3" t="s">
        <v>3273</v>
      </c>
      <c r="C3559" s="3" t="s">
        <v>3376</v>
      </c>
      <c r="D3559" s="4" t="str">
        <f t="shared" si="224"/>
        <v>12Go Link</v>
      </c>
      <c r="E3559" s="3" t="s">
        <v>3197</v>
      </c>
      <c r="K3559" s="5"/>
    </row>
    <row r="3560">
      <c r="A3560" s="3" t="s">
        <v>3219</v>
      </c>
      <c r="B3560" s="3" t="s">
        <v>3273</v>
      </c>
      <c r="C3560" s="3" t="s">
        <v>3377</v>
      </c>
      <c r="D3560" s="4" t="str">
        <f t="shared" ref="D3560:D3563" si="225">HYPERLINK("https://12go.asia/en/travel/Luxor-International-Airport/Hamata", "12Go Link")</f>
        <v>12Go Link</v>
      </c>
      <c r="E3560" s="3" t="s">
        <v>3196</v>
      </c>
      <c r="K3560" s="5"/>
    </row>
    <row r="3561">
      <c r="A3561" s="3" t="s">
        <v>3219</v>
      </c>
      <c r="B3561" s="3" t="s">
        <v>3273</v>
      </c>
      <c r="C3561" s="3" t="s">
        <v>3377</v>
      </c>
      <c r="D3561" s="4" t="str">
        <f t="shared" si="225"/>
        <v>12Go Link</v>
      </c>
      <c r="E3561" s="3" t="s">
        <v>3203</v>
      </c>
      <c r="K3561" s="5"/>
    </row>
    <row r="3562">
      <c r="A3562" s="3" t="s">
        <v>3219</v>
      </c>
      <c r="B3562" s="3" t="s">
        <v>3273</v>
      </c>
      <c r="C3562" s="3" t="s">
        <v>3377</v>
      </c>
      <c r="D3562" s="4" t="str">
        <f t="shared" si="225"/>
        <v>12Go Link</v>
      </c>
      <c r="E3562" s="3" t="s">
        <v>228</v>
      </c>
      <c r="K3562" s="5"/>
    </row>
    <row r="3563">
      <c r="A3563" s="3" t="s">
        <v>3219</v>
      </c>
      <c r="B3563" s="3" t="s">
        <v>3273</v>
      </c>
      <c r="C3563" s="3" t="s">
        <v>3377</v>
      </c>
      <c r="D3563" s="4" t="str">
        <f t="shared" si="225"/>
        <v>12Go Link</v>
      </c>
      <c r="E3563" s="3" t="s">
        <v>3197</v>
      </c>
      <c r="K3563" s="5"/>
    </row>
    <row r="3564">
      <c r="A3564" s="3" t="s">
        <v>3219</v>
      </c>
      <c r="B3564" s="3" t="s">
        <v>3273</v>
      </c>
      <c r="C3564" s="3" t="s">
        <v>3378</v>
      </c>
      <c r="D3564" s="4" t="str">
        <f t="shared" ref="D3564:D3567" si="226">HYPERLINK("https://12go.asia/en/travel/Luxor-International-Airport/Marsa-Alam-Hotel-Transfer", "12Go Link")</f>
        <v>12Go Link</v>
      </c>
      <c r="E3564" s="3" t="s">
        <v>3196</v>
      </c>
      <c r="K3564" s="5"/>
    </row>
    <row r="3565">
      <c r="A3565" s="3" t="s">
        <v>3219</v>
      </c>
      <c r="B3565" s="3" t="s">
        <v>3273</v>
      </c>
      <c r="C3565" s="3" t="s">
        <v>3378</v>
      </c>
      <c r="D3565" s="4" t="str">
        <f t="shared" si="226"/>
        <v>12Go Link</v>
      </c>
      <c r="E3565" s="3" t="s">
        <v>3203</v>
      </c>
      <c r="K3565" s="5"/>
    </row>
    <row r="3566">
      <c r="A3566" s="3" t="s">
        <v>3219</v>
      </c>
      <c r="B3566" s="3" t="s">
        <v>3273</v>
      </c>
      <c r="C3566" s="3" t="s">
        <v>3378</v>
      </c>
      <c r="D3566" s="4" t="str">
        <f t="shared" si="226"/>
        <v>12Go Link</v>
      </c>
      <c r="E3566" s="3" t="s">
        <v>228</v>
      </c>
      <c r="K3566" s="5"/>
    </row>
    <row r="3567">
      <c r="A3567" s="3" t="s">
        <v>3219</v>
      </c>
      <c r="B3567" s="3" t="s">
        <v>3273</v>
      </c>
      <c r="C3567" s="3" t="s">
        <v>3378</v>
      </c>
      <c r="D3567" s="4" t="str">
        <f t="shared" si="226"/>
        <v>12Go Link</v>
      </c>
      <c r="E3567" s="3" t="s">
        <v>3197</v>
      </c>
      <c r="K3567" s="5"/>
    </row>
    <row r="3568">
      <c r="A3568" s="3" t="s">
        <v>3219</v>
      </c>
      <c r="B3568" s="3" t="s">
        <v>3273</v>
      </c>
      <c r="C3568" s="3" t="s">
        <v>3379</v>
      </c>
      <c r="D3568" s="4" t="str">
        <f t="shared" ref="D3568:D3571" si="227">HYPERLINK("https://12go.asia/en/travel/Luxor-International-Airport/Port-Ghalib-Hotel-Transfer", "12Go Link")</f>
        <v>12Go Link</v>
      </c>
      <c r="E3568" s="3" t="s">
        <v>3196</v>
      </c>
      <c r="K3568" s="5"/>
    </row>
    <row r="3569">
      <c r="A3569" s="3" t="s">
        <v>3219</v>
      </c>
      <c r="B3569" s="3" t="s">
        <v>3273</v>
      </c>
      <c r="C3569" s="3" t="s">
        <v>3379</v>
      </c>
      <c r="D3569" s="4" t="str">
        <f t="shared" si="227"/>
        <v>12Go Link</v>
      </c>
      <c r="E3569" s="3" t="s">
        <v>3203</v>
      </c>
      <c r="K3569" s="5"/>
    </row>
    <row r="3570">
      <c r="A3570" s="3" t="s">
        <v>3219</v>
      </c>
      <c r="B3570" s="3" t="s">
        <v>3273</v>
      </c>
      <c r="C3570" s="3" t="s">
        <v>3379</v>
      </c>
      <c r="D3570" s="4" t="str">
        <f t="shared" si="227"/>
        <v>12Go Link</v>
      </c>
      <c r="E3570" s="3" t="s">
        <v>228</v>
      </c>
      <c r="K3570" s="5"/>
    </row>
    <row r="3571">
      <c r="A3571" s="3" t="s">
        <v>3219</v>
      </c>
      <c r="B3571" s="3" t="s">
        <v>3273</v>
      </c>
      <c r="C3571" s="3" t="s">
        <v>3379</v>
      </c>
      <c r="D3571" s="4" t="str">
        <f t="shared" si="227"/>
        <v>12Go Link</v>
      </c>
      <c r="E3571" s="3" t="s">
        <v>3197</v>
      </c>
      <c r="K3571" s="5"/>
    </row>
    <row r="3572">
      <c r="A3572" s="3" t="s">
        <v>3219</v>
      </c>
      <c r="B3572" s="3" t="s">
        <v>3380</v>
      </c>
      <c r="C3572" s="3" t="s">
        <v>3381</v>
      </c>
      <c r="D3572" s="4" t="str">
        <f t="shared" ref="D3572:D3575" si="228">HYPERLINK("https://12go.asia/en/travel/Luxor-International-Airport/Qena-Hotel-Transfer", "12Go Link")</f>
        <v>12Go Link</v>
      </c>
      <c r="E3572" s="3" t="s">
        <v>3196</v>
      </c>
      <c r="K3572" s="5"/>
    </row>
    <row r="3573">
      <c r="A3573" s="3" t="s">
        <v>3219</v>
      </c>
      <c r="B3573" s="3" t="s">
        <v>3380</v>
      </c>
      <c r="C3573" s="3" t="s">
        <v>3381</v>
      </c>
      <c r="D3573" s="4" t="str">
        <f t="shared" si="228"/>
        <v>12Go Link</v>
      </c>
      <c r="E3573" s="3" t="s">
        <v>3203</v>
      </c>
      <c r="K3573" s="5"/>
    </row>
    <row r="3574">
      <c r="A3574" s="3" t="s">
        <v>3219</v>
      </c>
      <c r="B3574" s="3" t="s">
        <v>3380</v>
      </c>
      <c r="C3574" s="3" t="s">
        <v>3381</v>
      </c>
      <c r="D3574" s="4" t="str">
        <f t="shared" si="228"/>
        <v>12Go Link</v>
      </c>
      <c r="E3574" s="3" t="s">
        <v>228</v>
      </c>
      <c r="K3574" s="5"/>
    </row>
    <row r="3575">
      <c r="A3575" s="3" t="s">
        <v>3219</v>
      </c>
      <c r="B3575" s="3" t="s">
        <v>3380</v>
      </c>
      <c r="C3575" s="3" t="s">
        <v>3381</v>
      </c>
      <c r="D3575" s="4" t="str">
        <f t="shared" si="228"/>
        <v>12Go Link</v>
      </c>
      <c r="E3575" s="3" t="s">
        <v>3197</v>
      </c>
      <c r="K3575" s="5"/>
    </row>
    <row r="3576">
      <c r="A3576" s="3" t="s">
        <v>3219</v>
      </c>
      <c r="B3576" s="3" t="s">
        <v>3350</v>
      </c>
      <c r="C3576" s="3" t="s">
        <v>3382</v>
      </c>
      <c r="D3576" s="4" t="str">
        <f t="shared" ref="D3576:D3579" si="229">HYPERLINK("https://12go.asia/en/travel/Luxor-International-Airport/Safaga-Hotel-Transfer", "12Go Link")</f>
        <v>12Go Link</v>
      </c>
      <c r="E3576" s="3" t="s">
        <v>3196</v>
      </c>
      <c r="K3576" s="5"/>
    </row>
    <row r="3577">
      <c r="A3577" s="3" t="s">
        <v>3219</v>
      </c>
      <c r="B3577" s="3" t="s">
        <v>3350</v>
      </c>
      <c r="C3577" s="3" t="s">
        <v>3382</v>
      </c>
      <c r="D3577" s="4" t="str">
        <f t="shared" si="229"/>
        <v>12Go Link</v>
      </c>
      <c r="E3577" s="3" t="s">
        <v>3203</v>
      </c>
      <c r="K3577" s="5"/>
    </row>
    <row r="3578">
      <c r="A3578" s="3" t="s">
        <v>3219</v>
      </c>
      <c r="B3578" s="3" t="s">
        <v>3350</v>
      </c>
      <c r="C3578" s="3" t="s">
        <v>3382</v>
      </c>
      <c r="D3578" s="4" t="str">
        <f t="shared" si="229"/>
        <v>12Go Link</v>
      </c>
      <c r="E3578" s="3" t="s">
        <v>228</v>
      </c>
      <c r="K3578" s="5"/>
    </row>
    <row r="3579">
      <c r="A3579" s="3" t="s">
        <v>3219</v>
      </c>
      <c r="B3579" s="3" t="s">
        <v>3350</v>
      </c>
      <c r="C3579" s="3" t="s">
        <v>3382</v>
      </c>
      <c r="D3579" s="4" t="str">
        <f t="shared" si="229"/>
        <v>12Go Link</v>
      </c>
      <c r="E3579" s="3" t="s">
        <v>3197</v>
      </c>
      <c r="K3579" s="5"/>
    </row>
    <row r="3580">
      <c r="A3580" s="3" t="s">
        <v>3219</v>
      </c>
      <c r="B3580" s="3" t="s">
        <v>3292</v>
      </c>
      <c r="C3580" s="3" t="s">
        <v>3383</v>
      </c>
      <c r="D3580" s="4" t="str">
        <f t="shared" ref="D3580:D3583" si="230">HYPERLINK("https://12go.asia/en/travel/Luxor-International-Airport/Taba-Hotel-Transfer", "12Go Link")</f>
        <v>12Go Link</v>
      </c>
      <c r="E3580" s="3" t="s">
        <v>3196</v>
      </c>
      <c r="K3580" s="5"/>
    </row>
    <row r="3581">
      <c r="A3581" s="3" t="s">
        <v>3219</v>
      </c>
      <c r="B3581" s="3" t="s">
        <v>3292</v>
      </c>
      <c r="C3581" s="3" t="s">
        <v>3383</v>
      </c>
      <c r="D3581" s="4" t="str">
        <f t="shared" si="230"/>
        <v>12Go Link</v>
      </c>
      <c r="E3581" s="3" t="s">
        <v>3203</v>
      </c>
      <c r="K3581" s="5"/>
    </row>
    <row r="3582">
      <c r="A3582" s="3" t="s">
        <v>3219</v>
      </c>
      <c r="B3582" s="3" t="s">
        <v>3292</v>
      </c>
      <c r="C3582" s="3" t="s">
        <v>3383</v>
      </c>
      <c r="D3582" s="4" t="str">
        <f t="shared" si="230"/>
        <v>12Go Link</v>
      </c>
      <c r="E3582" s="3" t="s">
        <v>228</v>
      </c>
      <c r="K3582" s="5"/>
    </row>
    <row r="3583">
      <c r="A3583" s="3" t="s">
        <v>3219</v>
      </c>
      <c r="B3583" s="3" t="s">
        <v>3292</v>
      </c>
      <c r="C3583" s="3" t="s">
        <v>3383</v>
      </c>
      <c r="D3583" s="4" t="str">
        <f t="shared" si="230"/>
        <v>12Go Link</v>
      </c>
      <c r="E3583" s="3" t="s">
        <v>3197</v>
      </c>
      <c r="K3583" s="5"/>
    </row>
    <row r="3584">
      <c r="A3584" s="3" t="s">
        <v>3273</v>
      </c>
      <c r="B3584" s="3" t="s">
        <v>3192</v>
      </c>
      <c r="C3584" s="3" t="s">
        <v>3384</v>
      </c>
      <c r="D3584" s="4" t="str">
        <f t="shared" ref="D3584:D3587" si="231">HYPERLINK("https://12go.asia/en/travel/Marsa-Alam-Hotel-Transfer/Cairo-Hotel-Transfer", "12Go Link")</f>
        <v>12Go Link</v>
      </c>
      <c r="E3584" s="3" t="s">
        <v>3194</v>
      </c>
      <c r="K3584" s="5"/>
    </row>
    <row r="3585">
      <c r="A3585" s="3" t="s">
        <v>3273</v>
      </c>
      <c r="B3585" s="3" t="s">
        <v>3192</v>
      </c>
      <c r="C3585" s="3" t="s">
        <v>3384</v>
      </c>
      <c r="D3585" s="4" t="str">
        <f t="shared" si="231"/>
        <v>12Go Link</v>
      </c>
      <c r="E3585" s="3" t="s">
        <v>3195</v>
      </c>
      <c r="K3585" s="5"/>
    </row>
    <row r="3586">
      <c r="A3586" s="3" t="s">
        <v>3273</v>
      </c>
      <c r="B3586" s="3" t="s">
        <v>3192</v>
      </c>
      <c r="C3586" s="3" t="s">
        <v>3384</v>
      </c>
      <c r="D3586" s="4" t="str">
        <f t="shared" si="231"/>
        <v>12Go Link</v>
      </c>
      <c r="E3586" s="3" t="s">
        <v>3196</v>
      </c>
      <c r="K3586" s="5"/>
    </row>
    <row r="3587">
      <c r="A3587" s="3" t="s">
        <v>3273</v>
      </c>
      <c r="B3587" s="3" t="s">
        <v>3192</v>
      </c>
      <c r="C3587" s="3" t="s">
        <v>3384</v>
      </c>
      <c r="D3587" s="4" t="str">
        <f t="shared" si="231"/>
        <v>12Go Link</v>
      </c>
      <c r="E3587" s="3" t="s">
        <v>3197</v>
      </c>
      <c r="K3587" s="5"/>
    </row>
    <row r="3588">
      <c r="A3588" s="3" t="s">
        <v>3273</v>
      </c>
      <c r="B3588" s="3" t="s">
        <v>3192</v>
      </c>
      <c r="C3588" s="3" t="s">
        <v>3385</v>
      </c>
      <c r="D3588" s="4" t="str">
        <f t="shared" ref="D3588:D3591" si="232">HYPERLINK("https://12go.asia/en/travel/Marsa-Alam-Hotel-Transfer/Cairo-International-Airport", "12Go Link")</f>
        <v>12Go Link</v>
      </c>
      <c r="E3588" s="3" t="s">
        <v>3194</v>
      </c>
      <c r="K3588" s="5"/>
    </row>
    <row r="3589">
      <c r="A3589" s="3" t="s">
        <v>3273</v>
      </c>
      <c r="B3589" s="3" t="s">
        <v>3192</v>
      </c>
      <c r="C3589" s="3" t="s">
        <v>3385</v>
      </c>
      <c r="D3589" s="4" t="str">
        <f t="shared" si="232"/>
        <v>12Go Link</v>
      </c>
      <c r="E3589" s="3" t="s">
        <v>3195</v>
      </c>
      <c r="K3589" s="5"/>
    </row>
    <row r="3590">
      <c r="A3590" s="3" t="s">
        <v>3273</v>
      </c>
      <c r="B3590" s="3" t="s">
        <v>3192</v>
      </c>
      <c r="C3590" s="3" t="s">
        <v>3385</v>
      </c>
      <c r="D3590" s="4" t="str">
        <f t="shared" si="232"/>
        <v>12Go Link</v>
      </c>
      <c r="E3590" s="3" t="s">
        <v>3196</v>
      </c>
      <c r="K3590" s="5"/>
    </row>
    <row r="3591">
      <c r="A3591" s="3" t="s">
        <v>3273</v>
      </c>
      <c r="B3591" s="3" t="s">
        <v>3192</v>
      </c>
      <c r="C3591" s="3" t="s">
        <v>3385</v>
      </c>
      <c r="D3591" s="4" t="str">
        <f t="shared" si="232"/>
        <v>12Go Link</v>
      </c>
      <c r="E3591" s="3" t="s">
        <v>3197</v>
      </c>
      <c r="K3591" s="5"/>
    </row>
    <row r="3592">
      <c r="A3592" s="3" t="s">
        <v>3273</v>
      </c>
      <c r="B3592" s="3" t="s">
        <v>3305</v>
      </c>
      <c r="C3592" s="3" t="s">
        <v>3386</v>
      </c>
      <c r="D3592" s="4" t="str">
        <f t="shared" ref="D3592:D3595" si="233">HYPERLINK("https://12go.asia/en/travel/Marsa-Alam-Airport/Akassia-Swiss-Resort", "12Go Link")</f>
        <v>12Go Link</v>
      </c>
      <c r="E3592" s="3" t="s">
        <v>3196</v>
      </c>
      <c r="K3592" s="5"/>
    </row>
    <row r="3593">
      <c r="A3593" s="3" t="s">
        <v>3273</v>
      </c>
      <c r="B3593" s="3" t="s">
        <v>3305</v>
      </c>
      <c r="C3593" s="3" t="s">
        <v>3386</v>
      </c>
      <c r="D3593" s="4" t="str">
        <f t="shared" si="233"/>
        <v>12Go Link</v>
      </c>
      <c r="E3593" s="3" t="s">
        <v>3203</v>
      </c>
      <c r="K3593" s="5"/>
    </row>
    <row r="3594">
      <c r="A3594" s="3" t="s">
        <v>3273</v>
      </c>
      <c r="B3594" s="3" t="s">
        <v>3305</v>
      </c>
      <c r="C3594" s="3" t="s">
        <v>3386</v>
      </c>
      <c r="D3594" s="4" t="str">
        <f t="shared" si="233"/>
        <v>12Go Link</v>
      </c>
      <c r="E3594" s="3" t="s">
        <v>228</v>
      </c>
      <c r="K3594" s="5"/>
    </row>
    <row r="3595">
      <c r="A3595" s="3" t="s">
        <v>3273</v>
      </c>
      <c r="B3595" s="3" t="s">
        <v>3305</v>
      </c>
      <c r="C3595" s="3" t="s">
        <v>3386</v>
      </c>
      <c r="D3595" s="4" t="str">
        <f t="shared" si="233"/>
        <v>12Go Link</v>
      </c>
      <c r="E3595" s="3" t="s">
        <v>3197</v>
      </c>
      <c r="K3595" s="5"/>
    </row>
    <row r="3596">
      <c r="A3596" s="3" t="s">
        <v>3273</v>
      </c>
      <c r="B3596" s="3" t="s">
        <v>3305</v>
      </c>
      <c r="C3596" s="3" t="s">
        <v>3387</v>
      </c>
      <c r="D3596" s="4" t="str">
        <f t="shared" ref="D3596:D3599" si="234">HYPERLINK("https://12go.asia/en/travel/Marsa-Alam-Airport/El-Qoseir-Hotel-Transfer", "12Go Link")</f>
        <v>12Go Link</v>
      </c>
      <c r="E3596" s="3" t="s">
        <v>3196</v>
      </c>
      <c r="K3596" s="5"/>
    </row>
    <row r="3597">
      <c r="A3597" s="3" t="s">
        <v>3273</v>
      </c>
      <c r="B3597" s="3" t="s">
        <v>3305</v>
      </c>
      <c r="C3597" s="3" t="s">
        <v>3387</v>
      </c>
      <c r="D3597" s="4" t="str">
        <f t="shared" si="234"/>
        <v>12Go Link</v>
      </c>
      <c r="E3597" s="3" t="s">
        <v>3203</v>
      </c>
      <c r="K3597" s="5"/>
    </row>
    <row r="3598">
      <c r="A3598" s="3" t="s">
        <v>3273</v>
      </c>
      <c r="B3598" s="3" t="s">
        <v>3305</v>
      </c>
      <c r="C3598" s="3" t="s">
        <v>3387</v>
      </c>
      <c r="D3598" s="4" t="str">
        <f t="shared" si="234"/>
        <v>12Go Link</v>
      </c>
      <c r="E3598" s="3" t="s">
        <v>228</v>
      </c>
      <c r="K3598" s="5"/>
    </row>
    <row r="3599">
      <c r="A3599" s="3" t="s">
        <v>3273</v>
      </c>
      <c r="B3599" s="3" t="s">
        <v>3305</v>
      </c>
      <c r="C3599" s="3" t="s">
        <v>3387</v>
      </c>
      <c r="D3599" s="4" t="str">
        <f t="shared" si="234"/>
        <v>12Go Link</v>
      </c>
      <c r="E3599" s="3" t="s">
        <v>3197</v>
      </c>
      <c r="K3599" s="5"/>
    </row>
    <row r="3600">
      <c r="A3600" s="3" t="s">
        <v>3273</v>
      </c>
      <c r="B3600" s="3" t="s">
        <v>3214</v>
      </c>
      <c r="C3600" s="3" t="s">
        <v>3388</v>
      </c>
      <c r="D3600" s="4" t="str">
        <f t="shared" ref="D3600:D3601" si="235">HYPERLINK("https://12go.asia/en/travel/Madinat-Coraya-Resort/Hurghada-Intl-Airport", "12Go Link")</f>
        <v>12Go Link</v>
      </c>
      <c r="E3600" s="3" t="s">
        <v>3265</v>
      </c>
      <c r="K3600" s="5"/>
    </row>
    <row r="3601">
      <c r="A3601" s="3" t="s">
        <v>3273</v>
      </c>
      <c r="B3601" s="3" t="s">
        <v>3214</v>
      </c>
      <c r="C3601" s="3" t="s">
        <v>3388</v>
      </c>
      <c r="D3601" s="4" t="str">
        <f t="shared" si="235"/>
        <v>12Go Link</v>
      </c>
      <c r="E3601" s="3" t="s">
        <v>3196</v>
      </c>
      <c r="K3601" s="5"/>
    </row>
    <row r="3602">
      <c r="A3602" s="3" t="s">
        <v>3273</v>
      </c>
      <c r="B3602" s="3" t="s">
        <v>3214</v>
      </c>
      <c r="C3602" s="3" t="s">
        <v>3389</v>
      </c>
      <c r="D3602" s="4" t="str">
        <f t="shared" ref="D3602:D3605" si="236">HYPERLINK("https://12go.asia/en/travel/Marsa-Alam-Airport/Coral-Beach-Hotel", "12Go Link")</f>
        <v>12Go Link</v>
      </c>
      <c r="E3602" s="3" t="s">
        <v>3196</v>
      </c>
      <c r="K3602" s="5"/>
    </row>
    <row r="3603">
      <c r="A3603" s="3" t="s">
        <v>3273</v>
      </c>
      <c r="B3603" s="3" t="s">
        <v>3214</v>
      </c>
      <c r="C3603" s="3" t="s">
        <v>3389</v>
      </c>
      <c r="D3603" s="4" t="str">
        <f t="shared" si="236"/>
        <v>12Go Link</v>
      </c>
      <c r="E3603" s="3" t="s">
        <v>3203</v>
      </c>
      <c r="K3603" s="5"/>
    </row>
    <row r="3604">
      <c r="A3604" s="3" t="s">
        <v>3273</v>
      </c>
      <c r="B3604" s="3" t="s">
        <v>3214</v>
      </c>
      <c r="C3604" s="3" t="s">
        <v>3389</v>
      </c>
      <c r="D3604" s="4" t="str">
        <f t="shared" si="236"/>
        <v>12Go Link</v>
      </c>
      <c r="E3604" s="3" t="s">
        <v>228</v>
      </c>
      <c r="K3604" s="5"/>
    </row>
    <row r="3605">
      <c r="A3605" s="3" t="s">
        <v>3273</v>
      </c>
      <c r="B3605" s="3" t="s">
        <v>3214</v>
      </c>
      <c r="C3605" s="3" t="s">
        <v>3389</v>
      </c>
      <c r="D3605" s="4" t="str">
        <f t="shared" si="236"/>
        <v>12Go Link</v>
      </c>
      <c r="E3605" s="3" t="s">
        <v>3197</v>
      </c>
      <c r="K3605" s="5"/>
    </row>
    <row r="3606">
      <c r="A3606" s="3" t="s">
        <v>3273</v>
      </c>
      <c r="B3606" s="3" t="s">
        <v>3214</v>
      </c>
      <c r="C3606" s="3" t="s">
        <v>3390</v>
      </c>
      <c r="D3606" s="4" t="str">
        <f t="shared" ref="D3606:D3609" si="237">HYPERLINK("https://12go.asia/en/travel/Marsa-Alam-Airport/Hurghada-Hotel-Transfer", "12Go Link")</f>
        <v>12Go Link</v>
      </c>
      <c r="E3606" s="3" t="s">
        <v>3196</v>
      </c>
      <c r="K3606" s="5"/>
    </row>
    <row r="3607">
      <c r="A3607" s="3" t="s">
        <v>3273</v>
      </c>
      <c r="B3607" s="3" t="s">
        <v>3214</v>
      </c>
      <c r="C3607" s="3" t="s">
        <v>3390</v>
      </c>
      <c r="D3607" s="4" t="str">
        <f t="shared" si="237"/>
        <v>12Go Link</v>
      </c>
      <c r="E3607" s="3" t="s">
        <v>3203</v>
      </c>
      <c r="K3607" s="5"/>
    </row>
    <row r="3608">
      <c r="A3608" s="3" t="s">
        <v>3273</v>
      </c>
      <c r="B3608" s="3" t="s">
        <v>3214</v>
      </c>
      <c r="C3608" s="3" t="s">
        <v>3390</v>
      </c>
      <c r="D3608" s="4" t="str">
        <f t="shared" si="237"/>
        <v>12Go Link</v>
      </c>
      <c r="E3608" s="3" t="s">
        <v>228</v>
      </c>
      <c r="K3608" s="5"/>
    </row>
    <row r="3609">
      <c r="A3609" s="3" t="s">
        <v>3273</v>
      </c>
      <c r="B3609" s="3" t="s">
        <v>3214</v>
      </c>
      <c r="C3609" s="3" t="s">
        <v>3390</v>
      </c>
      <c r="D3609" s="4" t="str">
        <f t="shared" si="237"/>
        <v>12Go Link</v>
      </c>
      <c r="E3609" s="3" t="s">
        <v>3197</v>
      </c>
      <c r="K3609" s="5"/>
    </row>
    <row r="3610">
      <c r="A3610" s="3" t="s">
        <v>3273</v>
      </c>
      <c r="B3610" s="3" t="s">
        <v>3214</v>
      </c>
      <c r="C3610" s="3" t="s">
        <v>3391</v>
      </c>
      <c r="D3610" s="4" t="str">
        <f t="shared" ref="D3610:D3614" si="238">HYPERLINK("https://12go.asia/en/travel/Marsa-Alam-Airport/Hurghada-Intl-Airport", "12Go Link")</f>
        <v>12Go Link</v>
      </c>
      <c r="E3610" s="3" t="s">
        <v>3265</v>
      </c>
      <c r="K3610" s="5"/>
    </row>
    <row r="3611">
      <c r="A3611" s="3" t="s">
        <v>3273</v>
      </c>
      <c r="B3611" s="3" t="s">
        <v>3214</v>
      </c>
      <c r="C3611" s="3" t="s">
        <v>3391</v>
      </c>
      <c r="D3611" s="4" t="str">
        <f t="shared" si="238"/>
        <v>12Go Link</v>
      </c>
      <c r="E3611" s="3" t="s">
        <v>3196</v>
      </c>
      <c r="K3611" s="5"/>
    </row>
    <row r="3612">
      <c r="A3612" s="3" t="s">
        <v>3273</v>
      </c>
      <c r="B3612" s="3" t="s">
        <v>3214</v>
      </c>
      <c r="C3612" s="3" t="s">
        <v>3391</v>
      </c>
      <c r="D3612" s="4" t="str">
        <f t="shared" si="238"/>
        <v>12Go Link</v>
      </c>
      <c r="E3612" s="3" t="s">
        <v>3203</v>
      </c>
      <c r="K3612" s="5"/>
    </row>
    <row r="3613">
      <c r="A3613" s="3" t="s">
        <v>3273</v>
      </c>
      <c r="B3613" s="3" t="s">
        <v>3214</v>
      </c>
      <c r="C3613" s="3" t="s">
        <v>3391</v>
      </c>
      <c r="D3613" s="4" t="str">
        <f t="shared" si="238"/>
        <v>12Go Link</v>
      </c>
      <c r="E3613" s="3" t="s">
        <v>228</v>
      </c>
      <c r="K3613" s="5"/>
    </row>
    <row r="3614">
      <c r="A3614" s="3" t="s">
        <v>3273</v>
      </c>
      <c r="B3614" s="3" t="s">
        <v>3214</v>
      </c>
      <c r="C3614" s="3" t="s">
        <v>3391</v>
      </c>
      <c r="D3614" s="4" t="str">
        <f t="shared" si="238"/>
        <v>12Go Link</v>
      </c>
      <c r="E3614" s="3" t="s">
        <v>3197</v>
      </c>
      <c r="K3614" s="5"/>
    </row>
    <row r="3615">
      <c r="A3615" s="3" t="s">
        <v>3273</v>
      </c>
      <c r="B3615" s="3" t="s">
        <v>3214</v>
      </c>
      <c r="C3615" s="3" t="s">
        <v>3392</v>
      </c>
      <c r="D3615" s="4" t="str">
        <f t="shared" ref="D3615:D3618" si="239">HYPERLINK("https://12go.asia/en/travel/Marsa-Alam-Airport/Makadi-Bay-Hotel-Transfer", "12Go Link")</f>
        <v>12Go Link</v>
      </c>
      <c r="E3615" s="3" t="s">
        <v>3196</v>
      </c>
      <c r="K3615" s="5"/>
    </row>
    <row r="3616">
      <c r="A3616" s="3" t="s">
        <v>3273</v>
      </c>
      <c r="B3616" s="3" t="s">
        <v>3214</v>
      </c>
      <c r="C3616" s="3" t="s">
        <v>3392</v>
      </c>
      <c r="D3616" s="4" t="str">
        <f t="shared" si="239"/>
        <v>12Go Link</v>
      </c>
      <c r="E3616" s="3" t="s">
        <v>3203</v>
      </c>
      <c r="K3616" s="5"/>
    </row>
    <row r="3617">
      <c r="A3617" s="3" t="s">
        <v>3273</v>
      </c>
      <c r="B3617" s="3" t="s">
        <v>3214</v>
      </c>
      <c r="C3617" s="3" t="s">
        <v>3392</v>
      </c>
      <c r="D3617" s="4" t="str">
        <f t="shared" si="239"/>
        <v>12Go Link</v>
      </c>
      <c r="E3617" s="3" t="s">
        <v>228</v>
      </c>
      <c r="K3617" s="5"/>
    </row>
    <row r="3618">
      <c r="A3618" s="3" t="s">
        <v>3273</v>
      </c>
      <c r="B3618" s="3" t="s">
        <v>3214</v>
      </c>
      <c r="C3618" s="3" t="s">
        <v>3392</v>
      </c>
      <c r="D3618" s="4" t="str">
        <f t="shared" si="239"/>
        <v>12Go Link</v>
      </c>
      <c r="E3618" s="3" t="s">
        <v>3197</v>
      </c>
      <c r="K3618" s="5"/>
    </row>
    <row r="3619">
      <c r="A3619" s="3" t="s">
        <v>3273</v>
      </c>
      <c r="B3619" s="3" t="s">
        <v>3214</v>
      </c>
      <c r="C3619" s="3" t="s">
        <v>3393</v>
      </c>
      <c r="D3619" s="4" t="str">
        <f t="shared" ref="D3619:D3622" si="240">HYPERLINK("https://12go.asia/en/travel/Marsa-Alam-Airport/Sahl-Hasheesh-Hotel-Transfer", "12Go Link")</f>
        <v>12Go Link</v>
      </c>
      <c r="E3619" s="3" t="s">
        <v>3196</v>
      </c>
      <c r="K3619" s="5"/>
    </row>
    <row r="3620">
      <c r="A3620" s="3" t="s">
        <v>3273</v>
      </c>
      <c r="B3620" s="3" t="s">
        <v>3214</v>
      </c>
      <c r="C3620" s="3" t="s">
        <v>3393</v>
      </c>
      <c r="D3620" s="4" t="str">
        <f t="shared" si="240"/>
        <v>12Go Link</v>
      </c>
      <c r="E3620" s="3" t="s">
        <v>3203</v>
      </c>
      <c r="K3620" s="5"/>
    </row>
    <row r="3621">
      <c r="A3621" s="3" t="s">
        <v>3273</v>
      </c>
      <c r="B3621" s="3" t="s">
        <v>3214</v>
      </c>
      <c r="C3621" s="3" t="s">
        <v>3393</v>
      </c>
      <c r="D3621" s="4" t="str">
        <f t="shared" si="240"/>
        <v>12Go Link</v>
      </c>
      <c r="E3621" s="3" t="s">
        <v>228</v>
      </c>
      <c r="K3621" s="5"/>
    </row>
    <row r="3622">
      <c r="A3622" s="3" t="s">
        <v>3273</v>
      </c>
      <c r="B3622" s="3" t="s">
        <v>3214</v>
      </c>
      <c r="C3622" s="3" t="s">
        <v>3393</v>
      </c>
      <c r="D3622" s="4" t="str">
        <f t="shared" si="240"/>
        <v>12Go Link</v>
      </c>
      <c r="E3622" s="3" t="s">
        <v>3197</v>
      </c>
      <c r="K3622" s="5"/>
    </row>
    <row r="3623">
      <c r="A3623" s="3" t="s">
        <v>3273</v>
      </c>
      <c r="B3623" s="3" t="s">
        <v>3214</v>
      </c>
      <c r="C3623" s="3" t="s">
        <v>3394</v>
      </c>
      <c r="D3623" s="4" t="str">
        <f t="shared" ref="D3623:D3626" si="241">HYPERLINK("https://12go.asia/en/travel/Marsa-Alam-Airport/Soma-Bay-Hotel-Transfer", "12Go Link")</f>
        <v>12Go Link</v>
      </c>
      <c r="E3623" s="3" t="s">
        <v>3196</v>
      </c>
      <c r="K3623" s="5"/>
    </row>
    <row r="3624">
      <c r="A3624" s="3" t="s">
        <v>3273</v>
      </c>
      <c r="B3624" s="3" t="s">
        <v>3214</v>
      </c>
      <c r="C3624" s="3" t="s">
        <v>3394</v>
      </c>
      <c r="D3624" s="4" t="str">
        <f t="shared" si="241"/>
        <v>12Go Link</v>
      </c>
      <c r="E3624" s="3" t="s">
        <v>3203</v>
      </c>
      <c r="K3624" s="5"/>
    </row>
    <row r="3625">
      <c r="A3625" s="3" t="s">
        <v>3273</v>
      </c>
      <c r="B3625" s="3" t="s">
        <v>3214</v>
      </c>
      <c r="C3625" s="3" t="s">
        <v>3394</v>
      </c>
      <c r="D3625" s="4" t="str">
        <f t="shared" si="241"/>
        <v>12Go Link</v>
      </c>
      <c r="E3625" s="3" t="s">
        <v>228</v>
      </c>
      <c r="K3625" s="5"/>
    </row>
    <row r="3626">
      <c r="A3626" s="3" t="s">
        <v>3273</v>
      </c>
      <c r="B3626" s="3" t="s">
        <v>3214</v>
      </c>
      <c r="C3626" s="3" t="s">
        <v>3394</v>
      </c>
      <c r="D3626" s="4" t="str">
        <f t="shared" si="241"/>
        <v>12Go Link</v>
      </c>
      <c r="E3626" s="3" t="s">
        <v>3197</v>
      </c>
      <c r="K3626" s="5"/>
    </row>
    <row r="3627">
      <c r="A3627" s="3" t="s">
        <v>3273</v>
      </c>
      <c r="B3627" s="3" t="s">
        <v>3214</v>
      </c>
      <c r="C3627" s="3" t="s">
        <v>3395</v>
      </c>
      <c r="D3627" s="4" t="str">
        <f t="shared" ref="D3627:D3628" si="242">HYPERLINK("https://12go.asia/en/travel/Port-Ghalib-Hotel-Transfer/Hurghada-Intl-Airport", "12Go Link")</f>
        <v>12Go Link</v>
      </c>
      <c r="E3627" s="3" t="s">
        <v>3265</v>
      </c>
      <c r="K3627" s="5"/>
    </row>
    <row r="3628">
      <c r="A3628" s="3" t="s">
        <v>3273</v>
      </c>
      <c r="B3628" s="3" t="s">
        <v>3214</v>
      </c>
      <c r="C3628" s="3" t="s">
        <v>3395</v>
      </c>
      <c r="D3628" s="4" t="str">
        <f t="shared" si="242"/>
        <v>12Go Link</v>
      </c>
      <c r="E3628" s="3" t="s">
        <v>3196</v>
      </c>
      <c r="K3628" s="5"/>
    </row>
    <row r="3629">
      <c r="A3629" s="3" t="s">
        <v>3273</v>
      </c>
      <c r="B3629" s="3" t="s">
        <v>3219</v>
      </c>
      <c r="C3629" s="3" t="s">
        <v>3396</v>
      </c>
      <c r="D3629" s="4" t="str">
        <f t="shared" ref="D3629:D3632" si="243">HYPERLINK("https://12go.asia/en/travel/Abu-Dabbab-Hotel-Transfer/Luxor-International-Airport", "12Go Link")</f>
        <v>12Go Link</v>
      </c>
      <c r="E3629" s="3" t="s">
        <v>3196</v>
      </c>
      <c r="K3629" s="5"/>
    </row>
    <row r="3630">
      <c r="A3630" s="3" t="s">
        <v>3273</v>
      </c>
      <c r="B3630" s="3" t="s">
        <v>3219</v>
      </c>
      <c r="C3630" s="3" t="s">
        <v>3396</v>
      </c>
      <c r="D3630" s="4" t="str">
        <f t="shared" si="243"/>
        <v>12Go Link</v>
      </c>
      <c r="E3630" s="3" t="s">
        <v>3203</v>
      </c>
      <c r="K3630" s="5"/>
    </row>
    <row r="3631">
      <c r="A3631" s="3" t="s">
        <v>3273</v>
      </c>
      <c r="B3631" s="3" t="s">
        <v>3219</v>
      </c>
      <c r="C3631" s="3" t="s">
        <v>3396</v>
      </c>
      <c r="D3631" s="4" t="str">
        <f t="shared" si="243"/>
        <v>12Go Link</v>
      </c>
      <c r="E3631" s="3" t="s">
        <v>228</v>
      </c>
      <c r="K3631" s="5"/>
    </row>
    <row r="3632">
      <c r="A3632" s="3" t="s">
        <v>3273</v>
      </c>
      <c r="B3632" s="3" t="s">
        <v>3219</v>
      </c>
      <c r="C3632" s="3" t="s">
        <v>3396</v>
      </c>
      <c r="D3632" s="4" t="str">
        <f t="shared" si="243"/>
        <v>12Go Link</v>
      </c>
      <c r="E3632" s="3" t="s">
        <v>3197</v>
      </c>
      <c r="K3632" s="5"/>
    </row>
    <row r="3633">
      <c r="A3633" s="3" t="s">
        <v>3273</v>
      </c>
      <c r="B3633" s="3" t="s">
        <v>3219</v>
      </c>
      <c r="C3633" s="3" t="s">
        <v>3397</v>
      </c>
      <c r="D3633" s="4" t="str">
        <f t="shared" ref="D3633:D3636" si="244">HYPERLINK("https://12go.asia/en/travel/Hamata/Luxor-International-Airport", "12Go Link")</f>
        <v>12Go Link</v>
      </c>
      <c r="E3633" s="3" t="s">
        <v>3196</v>
      </c>
      <c r="K3633" s="5"/>
    </row>
    <row r="3634">
      <c r="A3634" s="3" t="s">
        <v>3273</v>
      </c>
      <c r="B3634" s="3" t="s">
        <v>3219</v>
      </c>
      <c r="C3634" s="3" t="s">
        <v>3397</v>
      </c>
      <c r="D3634" s="4" t="str">
        <f t="shared" si="244"/>
        <v>12Go Link</v>
      </c>
      <c r="E3634" s="3" t="s">
        <v>3203</v>
      </c>
      <c r="K3634" s="5"/>
    </row>
    <row r="3635">
      <c r="A3635" s="3" t="s">
        <v>3273</v>
      </c>
      <c r="B3635" s="3" t="s">
        <v>3219</v>
      </c>
      <c r="C3635" s="3" t="s">
        <v>3397</v>
      </c>
      <c r="D3635" s="4" t="str">
        <f t="shared" si="244"/>
        <v>12Go Link</v>
      </c>
      <c r="E3635" s="3" t="s">
        <v>228</v>
      </c>
      <c r="K3635" s="5"/>
    </row>
    <row r="3636">
      <c r="A3636" s="3" t="s">
        <v>3273</v>
      </c>
      <c r="B3636" s="3" t="s">
        <v>3219</v>
      </c>
      <c r="C3636" s="3" t="s">
        <v>3397</v>
      </c>
      <c r="D3636" s="4" t="str">
        <f t="shared" si="244"/>
        <v>12Go Link</v>
      </c>
      <c r="E3636" s="3" t="s">
        <v>3197</v>
      </c>
      <c r="K3636" s="5"/>
    </row>
    <row r="3637">
      <c r="A3637" s="3" t="s">
        <v>3273</v>
      </c>
      <c r="B3637" s="3" t="s">
        <v>3219</v>
      </c>
      <c r="C3637" s="3" t="s">
        <v>3398</v>
      </c>
      <c r="D3637" s="4" t="str">
        <f t="shared" ref="D3637:D3640" si="245">HYPERLINK("https://12go.asia/en/travel/Marsa-Alam-Airport/Luxor-Hotel-Transfer", "12Go Link")</f>
        <v>12Go Link</v>
      </c>
      <c r="E3637" s="3" t="s">
        <v>3196</v>
      </c>
      <c r="K3637" s="5"/>
    </row>
    <row r="3638">
      <c r="A3638" s="3" t="s">
        <v>3273</v>
      </c>
      <c r="B3638" s="3" t="s">
        <v>3219</v>
      </c>
      <c r="C3638" s="3" t="s">
        <v>3398</v>
      </c>
      <c r="D3638" s="4" t="str">
        <f t="shared" si="245"/>
        <v>12Go Link</v>
      </c>
      <c r="E3638" s="3" t="s">
        <v>3203</v>
      </c>
      <c r="K3638" s="5"/>
    </row>
    <row r="3639">
      <c r="A3639" s="3" t="s">
        <v>3273</v>
      </c>
      <c r="B3639" s="3" t="s">
        <v>3219</v>
      </c>
      <c r="C3639" s="3" t="s">
        <v>3398</v>
      </c>
      <c r="D3639" s="4" t="str">
        <f t="shared" si="245"/>
        <v>12Go Link</v>
      </c>
      <c r="E3639" s="3" t="s">
        <v>228</v>
      </c>
      <c r="K3639" s="5"/>
    </row>
    <row r="3640">
      <c r="A3640" s="3" t="s">
        <v>3273</v>
      </c>
      <c r="B3640" s="3" t="s">
        <v>3219</v>
      </c>
      <c r="C3640" s="3" t="s">
        <v>3398</v>
      </c>
      <c r="D3640" s="4" t="str">
        <f t="shared" si="245"/>
        <v>12Go Link</v>
      </c>
      <c r="E3640" s="3" t="s">
        <v>3197</v>
      </c>
      <c r="K3640" s="5"/>
    </row>
    <row r="3641">
      <c r="A3641" s="3" t="s">
        <v>3273</v>
      </c>
      <c r="B3641" s="3" t="s">
        <v>3219</v>
      </c>
      <c r="C3641" s="3" t="s">
        <v>3399</v>
      </c>
      <c r="D3641" s="4" t="str">
        <f t="shared" ref="D3641:D3644" si="246">HYPERLINK("https://12go.asia/en/travel/Marsa-Alam-Hotel-Transfer/Luxor-International-Airport", "12Go Link")</f>
        <v>12Go Link</v>
      </c>
      <c r="E3641" s="3" t="s">
        <v>3196</v>
      </c>
      <c r="K3641" s="5"/>
    </row>
    <row r="3642">
      <c r="A3642" s="3" t="s">
        <v>3273</v>
      </c>
      <c r="B3642" s="3" t="s">
        <v>3219</v>
      </c>
      <c r="C3642" s="3" t="s">
        <v>3399</v>
      </c>
      <c r="D3642" s="4" t="str">
        <f t="shared" si="246"/>
        <v>12Go Link</v>
      </c>
      <c r="E3642" s="3" t="s">
        <v>3203</v>
      </c>
      <c r="K3642" s="5"/>
    </row>
    <row r="3643">
      <c r="A3643" s="3" t="s">
        <v>3273</v>
      </c>
      <c r="B3643" s="3" t="s">
        <v>3219</v>
      </c>
      <c r="C3643" s="3" t="s">
        <v>3399</v>
      </c>
      <c r="D3643" s="4" t="str">
        <f t="shared" si="246"/>
        <v>12Go Link</v>
      </c>
      <c r="E3643" s="3" t="s">
        <v>228</v>
      </c>
      <c r="K3643" s="5"/>
    </row>
    <row r="3644">
      <c r="A3644" s="3" t="s">
        <v>3273</v>
      </c>
      <c r="B3644" s="3" t="s">
        <v>3219</v>
      </c>
      <c r="C3644" s="3" t="s">
        <v>3399</v>
      </c>
      <c r="D3644" s="4" t="str">
        <f t="shared" si="246"/>
        <v>12Go Link</v>
      </c>
      <c r="E3644" s="3" t="s">
        <v>3197</v>
      </c>
      <c r="K3644" s="5"/>
    </row>
    <row r="3645">
      <c r="A3645" s="3" t="s">
        <v>3273</v>
      </c>
      <c r="B3645" s="3" t="s">
        <v>3219</v>
      </c>
      <c r="C3645" s="3" t="s">
        <v>3400</v>
      </c>
      <c r="D3645" s="4" t="str">
        <f t="shared" ref="D3645:D3648" si="247">HYPERLINK("https://12go.asia/en/travel/Port-Ghalib-Hotel-Transfer/Luxor-International-Airport", "12Go Link")</f>
        <v>12Go Link</v>
      </c>
      <c r="E3645" s="3" t="s">
        <v>3196</v>
      </c>
      <c r="K3645" s="5"/>
    </row>
    <row r="3646">
      <c r="A3646" s="3" t="s">
        <v>3273</v>
      </c>
      <c r="B3646" s="3" t="s">
        <v>3219</v>
      </c>
      <c r="C3646" s="3" t="s">
        <v>3400</v>
      </c>
      <c r="D3646" s="4" t="str">
        <f t="shared" si="247"/>
        <v>12Go Link</v>
      </c>
      <c r="E3646" s="3" t="s">
        <v>3203</v>
      </c>
      <c r="K3646" s="5"/>
    </row>
    <row r="3647">
      <c r="A3647" s="3" t="s">
        <v>3273</v>
      </c>
      <c r="B3647" s="3" t="s">
        <v>3219</v>
      </c>
      <c r="C3647" s="3" t="s">
        <v>3400</v>
      </c>
      <c r="D3647" s="4" t="str">
        <f t="shared" si="247"/>
        <v>12Go Link</v>
      </c>
      <c r="E3647" s="3" t="s">
        <v>228</v>
      </c>
      <c r="K3647" s="5"/>
    </row>
    <row r="3648">
      <c r="A3648" s="3" t="s">
        <v>3273</v>
      </c>
      <c r="B3648" s="3" t="s">
        <v>3219</v>
      </c>
      <c r="C3648" s="3" t="s">
        <v>3400</v>
      </c>
      <c r="D3648" s="4" t="str">
        <f t="shared" si="247"/>
        <v>12Go Link</v>
      </c>
      <c r="E3648" s="3" t="s">
        <v>3197</v>
      </c>
      <c r="K3648" s="5"/>
    </row>
    <row r="3649">
      <c r="A3649" s="3" t="s">
        <v>3273</v>
      </c>
      <c r="B3649" s="3" t="s">
        <v>3273</v>
      </c>
      <c r="C3649" s="3" t="s">
        <v>3401</v>
      </c>
      <c r="D3649" s="4" t="str">
        <f t="shared" ref="D3649:D3652" si="248">HYPERLINK("https://12go.asia/en/travel/Gemma-Beach-Hotel-Transfer/Marsa-Alam-Airport", "12Go Link")</f>
        <v>12Go Link</v>
      </c>
      <c r="E3649" s="3" t="s">
        <v>3196</v>
      </c>
      <c r="K3649" s="5"/>
    </row>
    <row r="3650">
      <c r="A3650" s="3" t="s">
        <v>3273</v>
      </c>
      <c r="B3650" s="3" t="s">
        <v>3273</v>
      </c>
      <c r="C3650" s="3" t="s">
        <v>3401</v>
      </c>
      <c r="D3650" s="4" t="str">
        <f t="shared" si="248"/>
        <v>12Go Link</v>
      </c>
      <c r="E3650" s="3" t="s">
        <v>3203</v>
      </c>
      <c r="K3650" s="5"/>
    </row>
    <row r="3651">
      <c r="A3651" s="3" t="s">
        <v>3273</v>
      </c>
      <c r="B3651" s="3" t="s">
        <v>3273</v>
      </c>
      <c r="C3651" s="3" t="s">
        <v>3401</v>
      </c>
      <c r="D3651" s="4" t="str">
        <f t="shared" si="248"/>
        <v>12Go Link</v>
      </c>
      <c r="E3651" s="3" t="s">
        <v>228</v>
      </c>
      <c r="K3651" s="5"/>
    </row>
    <row r="3652">
      <c r="A3652" s="3" t="s">
        <v>3273</v>
      </c>
      <c r="B3652" s="3" t="s">
        <v>3273</v>
      </c>
      <c r="C3652" s="3" t="s">
        <v>3401</v>
      </c>
      <c r="D3652" s="4" t="str">
        <f t="shared" si="248"/>
        <v>12Go Link</v>
      </c>
      <c r="E3652" s="3" t="s">
        <v>3197</v>
      </c>
      <c r="K3652" s="5"/>
    </row>
    <row r="3653">
      <c r="A3653" s="3" t="s">
        <v>3273</v>
      </c>
      <c r="B3653" s="3" t="s">
        <v>3273</v>
      </c>
      <c r="C3653" s="3" t="s">
        <v>3402</v>
      </c>
      <c r="D3653" s="4" t="str">
        <f t="shared" ref="D3653:D3656" si="249">HYPERLINK("https://12go.asia/en/travel/Gorgonia-Beach-Resort/Marsa-Alam-Airport", "12Go Link")</f>
        <v>12Go Link</v>
      </c>
      <c r="E3653" s="3" t="s">
        <v>3196</v>
      </c>
      <c r="K3653" s="5"/>
    </row>
    <row r="3654">
      <c r="A3654" s="3" t="s">
        <v>3273</v>
      </c>
      <c r="B3654" s="3" t="s">
        <v>3273</v>
      </c>
      <c r="C3654" s="3" t="s">
        <v>3402</v>
      </c>
      <c r="D3654" s="4" t="str">
        <f t="shared" si="249"/>
        <v>12Go Link</v>
      </c>
      <c r="E3654" s="3" t="s">
        <v>3203</v>
      </c>
      <c r="K3654" s="5"/>
    </row>
    <row r="3655">
      <c r="A3655" s="3" t="s">
        <v>3273</v>
      </c>
      <c r="B3655" s="3" t="s">
        <v>3273</v>
      </c>
      <c r="C3655" s="3" t="s">
        <v>3402</v>
      </c>
      <c r="D3655" s="4" t="str">
        <f t="shared" si="249"/>
        <v>12Go Link</v>
      </c>
      <c r="E3655" s="3" t="s">
        <v>228</v>
      </c>
      <c r="K3655" s="5"/>
    </row>
    <row r="3656">
      <c r="A3656" s="3" t="s">
        <v>3273</v>
      </c>
      <c r="B3656" s="3" t="s">
        <v>3273</v>
      </c>
      <c r="C3656" s="3" t="s">
        <v>3402</v>
      </c>
      <c r="D3656" s="4" t="str">
        <f t="shared" si="249"/>
        <v>12Go Link</v>
      </c>
      <c r="E3656" s="3" t="s">
        <v>3197</v>
      </c>
      <c r="K3656" s="5"/>
    </row>
    <row r="3657">
      <c r="A3657" s="3" t="s">
        <v>3273</v>
      </c>
      <c r="B3657" s="3" t="s">
        <v>3273</v>
      </c>
      <c r="C3657" s="3" t="s">
        <v>3403</v>
      </c>
      <c r="D3657" s="4" t="str">
        <f t="shared" ref="D3657:D3660" si="250">HYPERLINK("https://12go.asia/en/travel/Hamata/Marsa-Alam-Airport", "12Go Link")</f>
        <v>12Go Link</v>
      </c>
      <c r="E3657" s="3" t="s">
        <v>3196</v>
      </c>
      <c r="K3657" s="5"/>
    </row>
    <row r="3658">
      <c r="A3658" s="3" t="s">
        <v>3273</v>
      </c>
      <c r="B3658" s="3" t="s">
        <v>3273</v>
      </c>
      <c r="C3658" s="3" t="s">
        <v>3403</v>
      </c>
      <c r="D3658" s="4" t="str">
        <f t="shared" si="250"/>
        <v>12Go Link</v>
      </c>
      <c r="E3658" s="3" t="s">
        <v>3203</v>
      </c>
      <c r="K3658" s="5"/>
    </row>
    <row r="3659">
      <c r="A3659" s="3" t="s">
        <v>3273</v>
      </c>
      <c r="B3659" s="3" t="s">
        <v>3273</v>
      </c>
      <c r="C3659" s="3" t="s">
        <v>3403</v>
      </c>
      <c r="D3659" s="4" t="str">
        <f t="shared" si="250"/>
        <v>12Go Link</v>
      </c>
      <c r="E3659" s="3" t="s">
        <v>228</v>
      </c>
      <c r="K3659" s="5"/>
    </row>
    <row r="3660">
      <c r="A3660" s="3" t="s">
        <v>3273</v>
      </c>
      <c r="B3660" s="3" t="s">
        <v>3273</v>
      </c>
      <c r="C3660" s="3" t="s">
        <v>3403</v>
      </c>
      <c r="D3660" s="4" t="str">
        <f t="shared" si="250"/>
        <v>12Go Link</v>
      </c>
      <c r="E3660" s="3" t="s">
        <v>3197</v>
      </c>
      <c r="K3660" s="5"/>
    </row>
    <row r="3661">
      <c r="A3661" s="3" t="s">
        <v>3273</v>
      </c>
      <c r="B3661" s="3" t="s">
        <v>3273</v>
      </c>
      <c r="C3661" s="3" t="s">
        <v>3404</v>
      </c>
      <c r="D3661" s="4" t="str">
        <f t="shared" ref="D3661:D3664" si="251">HYPERLINK("https://12go.asia/en/travel/Hotelux-Oriental-Coast-Marsa-Alam/Marsa-Alam-Airport", "12Go Link")</f>
        <v>12Go Link</v>
      </c>
      <c r="E3661" s="3" t="s">
        <v>3196</v>
      </c>
      <c r="K3661" s="5"/>
    </row>
    <row r="3662">
      <c r="A3662" s="3" t="s">
        <v>3273</v>
      </c>
      <c r="B3662" s="3" t="s">
        <v>3273</v>
      </c>
      <c r="C3662" s="3" t="s">
        <v>3404</v>
      </c>
      <c r="D3662" s="4" t="str">
        <f t="shared" si="251"/>
        <v>12Go Link</v>
      </c>
      <c r="E3662" s="3" t="s">
        <v>3203</v>
      </c>
      <c r="K3662" s="5"/>
    </row>
    <row r="3663">
      <c r="A3663" s="3" t="s">
        <v>3273</v>
      </c>
      <c r="B3663" s="3" t="s">
        <v>3273</v>
      </c>
      <c r="C3663" s="3" t="s">
        <v>3404</v>
      </c>
      <c r="D3663" s="4" t="str">
        <f t="shared" si="251"/>
        <v>12Go Link</v>
      </c>
      <c r="E3663" s="3" t="s">
        <v>228</v>
      </c>
      <c r="K3663" s="5"/>
    </row>
    <row r="3664">
      <c r="A3664" s="3" t="s">
        <v>3273</v>
      </c>
      <c r="B3664" s="3" t="s">
        <v>3273</v>
      </c>
      <c r="C3664" s="3" t="s">
        <v>3404</v>
      </c>
      <c r="D3664" s="4" t="str">
        <f t="shared" si="251"/>
        <v>12Go Link</v>
      </c>
      <c r="E3664" s="3" t="s">
        <v>3197</v>
      </c>
      <c r="K3664" s="5"/>
    </row>
    <row r="3665">
      <c r="A3665" s="3" t="s">
        <v>3273</v>
      </c>
      <c r="B3665" s="3" t="s">
        <v>3273</v>
      </c>
      <c r="C3665" s="3" t="s">
        <v>3405</v>
      </c>
      <c r="D3665" s="4" t="str">
        <f t="shared" ref="D3665:D3668" si="252">HYPERLINK("https://12go.asia/en/travel/Lahami-Bay-Beach-Resort/Marsa-Alam-Airport", "12Go Link")</f>
        <v>12Go Link</v>
      </c>
      <c r="E3665" s="3" t="s">
        <v>3196</v>
      </c>
      <c r="K3665" s="5"/>
    </row>
    <row r="3666">
      <c r="A3666" s="3" t="s">
        <v>3273</v>
      </c>
      <c r="B3666" s="3" t="s">
        <v>3273</v>
      </c>
      <c r="C3666" s="3" t="s">
        <v>3405</v>
      </c>
      <c r="D3666" s="4" t="str">
        <f t="shared" si="252"/>
        <v>12Go Link</v>
      </c>
      <c r="E3666" s="3" t="s">
        <v>3203</v>
      </c>
      <c r="K3666" s="5"/>
    </row>
    <row r="3667">
      <c r="A3667" s="3" t="s">
        <v>3273</v>
      </c>
      <c r="B3667" s="3" t="s">
        <v>3273</v>
      </c>
      <c r="C3667" s="3" t="s">
        <v>3405</v>
      </c>
      <c r="D3667" s="4" t="str">
        <f t="shared" si="252"/>
        <v>12Go Link</v>
      </c>
      <c r="E3667" s="3" t="s">
        <v>228</v>
      </c>
      <c r="K3667" s="5"/>
    </row>
    <row r="3668">
      <c r="A3668" s="3" t="s">
        <v>3273</v>
      </c>
      <c r="B3668" s="3" t="s">
        <v>3273</v>
      </c>
      <c r="C3668" s="3" t="s">
        <v>3405</v>
      </c>
      <c r="D3668" s="4" t="str">
        <f t="shared" si="252"/>
        <v>12Go Link</v>
      </c>
      <c r="E3668" s="3" t="s">
        <v>3197</v>
      </c>
      <c r="K3668" s="5"/>
    </row>
    <row r="3669">
      <c r="A3669" s="3" t="s">
        <v>3273</v>
      </c>
      <c r="B3669" s="3" t="s">
        <v>3273</v>
      </c>
      <c r="C3669" s="3" t="s">
        <v>3406</v>
      </c>
      <c r="D3669" s="4" t="str">
        <f t="shared" ref="D3669:D3672" si="253">HYPERLINK("https://12go.asia/en/travel/Madinat-Coraya-Resort/Marsa-Alam-Airport", "12Go Link")</f>
        <v>12Go Link</v>
      </c>
      <c r="E3669" s="3" t="s">
        <v>3196</v>
      </c>
      <c r="K3669" s="5"/>
    </row>
    <row r="3670">
      <c r="A3670" s="3" t="s">
        <v>3273</v>
      </c>
      <c r="B3670" s="3" t="s">
        <v>3273</v>
      </c>
      <c r="C3670" s="3" t="s">
        <v>3406</v>
      </c>
      <c r="D3670" s="4" t="str">
        <f t="shared" si="253"/>
        <v>12Go Link</v>
      </c>
      <c r="E3670" s="3" t="s">
        <v>3203</v>
      </c>
      <c r="K3670" s="5"/>
    </row>
    <row r="3671">
      <c r="A3671" s="3" t="s">
        <v>3273</v>
      </c>
      <c r="B3671" s="3" t="s">
        <v>3273</v>
      </c>
      <c r="C3671" s="3" t="s">
        <v>3406</v>
      </c>
      <c r="D3671" s="4" t="str">
        <f t="shared" si="253"/>
        <v>12Go Link</v>
      </c>
      <c r="E3671" s="3" t="s">
        <v>228</v>
      </c>
      <c r="K3671" s="5"/>
    </row>
    <row r="3672">
      <c r="A3672" s="3" t="s">
        <v>3273</v>
      </c>
      <c r="B3672" s="3" t="s">
        <v>3273</v>
      </c>
      <c r="C3672" s="3" t="s">
        <v>3406</v>
      </c>
      <c r="D3672" s="4" t="str">
        <f t="shared" si="253"/>
        <v>12Go Link</v>
      </c>
      <c r="E3672" s="3" t="s">
        <v>3197</v>
      </c>
      <c r="K3672" s="5"/>
    </row>
    <row r="3673">
      <c r="A3673" s="3" t="s">
        <v>3273</v>
      </c>
      <c r="B3673" s="3" t="s">
        <v>3273</v>
      </c>
      <c r="C3673" s="3" t="s">
        <v>3407</v>
      </c>
      <c r="D3673" s="4" t="str">
        <f t="shared" ref="D3673:D3676" si="254">HYPERLINK("https://12go.asia/en/travel/Marsa-Alam-Airport/Gemma-Beach-Hotel-Transfer", "12Go Link")</f>
        <v>12Go Link</v>
      </c>
      <c r="E3673" s="3" t="s">
        <v>3196</v>
      </c>
      <c r="K3673" s="5"/>
    </row>
    <row r="3674">
      <c r="A3674" s="3" t="s">
        <v>3273</v>
      </c>
      <c r="B3674" s="3" t="s">
        <v>3273</v>
      </c>
      <c r="C3674" s="3" t="s">
        <v>3407</v>
      </c>
      <c r="D3674" s="4" t="str">
        <f t="shared" si="254"/>
        <v>12Go Link</v>
      </c>
      <c r="E3674" s="3" t="s">
        <v>3203</v>
      </c>
      <c r="K3674" s="5"/>
    </row>
    <row r="3675">
      <c r="A3675" s="3" t="s">
        <v>3273</v>
      </c>
      <c r="B3675" s="3" t="s">
        <v>3273</v>
      </c>
      <c r="C3675" s="3" t="s">
        <v>3407</v>
      </c>
      <c r="D3675" s="4" t="str">
        <f t="shared" si="254"/>
        <v>12Go Link</v>
      </c>
      <c r="E3675" s="3" t="s">
        <v>228</v>
      </c>
      <c r="K3675" s="5"/>
    </row>
    <row r="3676">
      <c r="A3676" s="3" t="s">
        <v>3273</v>
      </c>
      <c r="B3676" s="3" t="s">
        <v>3273</v>
      </c>
      <c r="C3676" s="3" t="s">
        <v>3407</v>
      </c>
      <c r="D3676" s="4" t="str">
        <f t="shared" si="254"/>
        <v>12Go Link</v>
      </c>
      <c r="E3676" s="3" t="s">
        <v>3197</v>
      </c>
      <c r="K3676" s="5"/>
    </row>
    <row r="3677">
      <c r="A3677" s="3" t="s">
        <v>3273</v>
      </c>
      <c r="B3677" s="3" t="s">
        <v>3273</v>
      </c>
      <c r="C3677" s="3" t="s">
        <v>3408</v>
      </c>
      <c r="D3677" s="4" t="str">
        <f t="shared" ref="D3677:D3680" si="255">HYPERLINK("https://12go.asia/en/travel/Marsa-Alam-Airport/Gorgonia-Beach-Resort", "12Go Link")</f>
        <v>12Go Link</v>
      </c>
      <c r="E3677" s="3" t="s">
        <v>3196</v>
      </c>
      <c r="K3677" s="5"/>
    </row>
    <row r="3678">
      <c r="A3678" s="3" t="s">
        <v>3273</v>
      </c>
      <c r="B3678" s="3" t="s">
        <v>3273</v>
      </c>
      <c r="C3678" s="3" t="s">
        <v>3408</v>
      </c>
      <c r="D3678" s="4" t="str">
        <f t="shared" si="255"/>
        <v>12Go Link</v>
      </c>
      <c r="E3678" s="3" t="s">
        <v>3203</v>
      </c>
      <c r="K3678" s="5"/>
    </row>
    <row r="3679">
      <c r="A3679" s="3" t="s">
        <v>3273</v>
      </c>
      <c r="B3679" s="3" t="s">
        <v>3273</v>
      </c>
      <c r="C3679" s="3" t="s">
        <v>3408</v>
      </c>
      <c r="D3679" s="4" t="str">
        <f t="shared" si="255"/>
        <v>12Go Link</v>
      </c>
      <c r="E3679" s="3" t="s">
        <v>228</v>
      </c>
      <c r="K3679" s="5"/>
    </row>
    <row r="3680">
      <c r="A3680" s="3" t="s">
        <v>3273</v>
      </c>
      <c r="B3680" s="3" t="s">
        <v>3273</v>
      </c>
      <c r="C3680" s="3" t="s">
        <v>3408</v>
      </c>
      <c r="D3680" s="4" t="str">
        <f t="shared" si="255"/>
        <v>12Go Link</v>
      </c>
      <c r="E3680" s="3" t="s">
        <v>3197</v>
      </c>
      <c r="K3680" s="5"/>
    </row>
    <row r="3681">
      <c r="A3681" s="3" t="s">
        <v>3273</v>
      </c>
      <c r="B3681" s="3" t="s">
        <v>3273</v>
      </c>
      <c r="C3681" s="3" t="s">
        <v>3409</v>
      </c>
      <c r="D3681" s="4" t="str">
        <f t="shared" ref="D3681:D3684" si="256">HYPERLINK("https://12go.asia/en/travel/Marsa-Alam-Airport/Hamata", "12Go Link")</f>
        <v>12Go Link</v>
      </c>
      <c r="E3681" s="3" t="s">
        <v>3196</v>
      </c>
      <c r="K3681" s="5"/>
    </row>
    <row r="3682">
      <c r="A3682" s="3" t="s">
        <v>3273</v>
      </c>
      <c r="B3682" s="3" t="s">
        <v>3273</v>
      </c>
      <c r="C3682" s="3" t="s">
        <v>3409</v>
      </c>
      <c r="D3682" s="4" t="str">
        <f t="shared" si="256"/>
        <v>12Go Link</v>
      </c>
      <c r="E3682" s="3" t="s">
        <v>3203</v>
      </c>
      <c r="K3682" s="5"/>
    </row>
    <row r="3683">
      <c r="A3683" s="3" t="s">
        <v>3273</v>
      </c>
      <c r="B3683" s="3" t="s">
        <v>3273</v>
      </c>
      <c r="C3683" s="3" t="s">
        <v>3409</v>
      </c>
      <c r="D3683" s="4" t="str">
        <f t="shared" si="256"/>
        <v>12Go Link</v>
      </c>
      <c r="E3683" s="3" t="s">
        <v>228</v>
      </c>
      <c r="K3683" s="5"/>
    </row>
    <row r="3684">
      <c r="A3684" s="3" t="s">
        <v>3273</v>
      </c>
      <c r="B3684" s="3" t="s">
        <v>3273</v>
      </c>
      <c r="C3684" s="3" t="s">
        <v>3409</v>
      </c>
      <c r="D3684" s="4" t="str">
        <f t="shared" si="256"/>
        <v>12Go Link</v>
      </c>
      <c r="E3684" s="3" t="s">
        <v>3197</v>
      </c>
      <c r="K3684" s="5"/>
    </row>
    <row r="3685">
      <c r="A3685" s="3" t="s">
        <v>3273</v>
      </c>
      <c r="B3685" s="3" t="s">
        <v>3273</v>
      </c>
      <c r="C3685" s="3" t="s">
        <v>3410</v>
      </c>
      <c r="D3685" s="4" t="str">
        <f t="shared" ref="D3685:D3688" si="257">HYPERLINK("https://12go.asia/en/travel/Marsa-Alam-Airport/Hotelux-Oriental-Coast-Marsa-Alam", "12Go Link")</f>
        <v>12Go Link</v>
      </c>
      <c r="E3685" s="3" t="s">
        <v>3196</v>
      </c>
      <c r="K3685" s="5"/>
    </row>
    <row r="3686">
      <c r="A3686" s="3" t="s">
        <v>3273</v>
      </c>
      <c r="B3686" s="3" t="s">
        <v>3273</v>
      </c>
      <c r="C3686" s="3" t="s">
        <v>3410</v>
      </c>
      <c r="D3686" s="4" t="str">
        <f t="shared" si="257"/>
        <v>12Go Link</v>
      </c>
      <c r="E3686" s="3" t="s">
        <v>3203</v>
      </c>
      <c r="K3686" s="5"/>
    </row>
    <row r="3687">
      <c r="A3687" s="3" t="s">
        <v>3273</v>
      </c>
      <c r="B3687" s="3" t="s">
        <v>3273</v>
      </c>
      <c r="C3687" s="3" t="s">
        <v>3410</v>
      </c>
      <c r="D3687" s="4" t="str">
        <f t="shared" si="257"/>
        <v>12Go Link</v>
      </c>
      <c r="E3687" s="3" t="s">
        <v>228</v>
      </c>
      <c r="K3687" s="5"/>
    </row>
    <row r="3688">
      <c r="A3688" s="3" t="s">
        <v>3273</v>
      </c>
      <c r="B3688" s="3" t="s">
        <v>3273</v>
      </c>
      <c r="C3688" s="3" t="s">
        <v>3410</v>
      </c>
      <c r="D3688" s="4" t="str">
        <f t="shared" si="257"/>
        <v>12Go Link</v>
      </c>
      <c r="E3688" s="3" t="s">
        <v>3197</v>
      </c>
      <c r="K3688" s="5"/>
    </row>
    <row r="3689">
      <c r="A3689" s="3" t="s">
        <v>3273</v>
      </c>
      <c r="B3689" s="3" t="s">
        <v>3273</v>
      </c>
      <c r="C3689" s="3" t="s">
        <v>3411</v>
      </c>
      <c r="D3689" s="4" t="str">
        <f t="shared" ref="D3689:D3692" si="258">HYPERLINK("https://12go.asia/en/travel/Marsa-Alam-Airport/Lahami-Bay-Beach-Resort", "12Go Link")</f>
        <v>12Go Link</v>
      </c>
      <c r="E3689" s="3" t="s">
        <v>3196</v>
      </c>
      <c r="K3689" s="5"/>
    </row>
    <row r="3690">
      <c r="A3690" s="3" t="s">
        <v>3273</v>
      </c>
      <c r="B3690" s="3" t="s">
        <v>3273</v>
      </c>
      <c r="C3690" s="3" t="s">
        <v>3411</v>
      </c>
      <c r="D3690" s="4" t="str">
        <f t="shared" si="258"/>
        <v>12Go Link</v>
      </c>
      <c r="E3690" s="3" t="s">
        <v>3203</v>
      </c>
      <c r="K3690" s="5"/>
    </row>
    <row r="3691">
      <c r="A3691" s="3" t="s">
        <v>3273</v>
      </c>
      <c r="B3691" s="3" t="s">
        <v>3273</v>
      </c>
      <c r="C3691" s="3" t="s">
        <v>3411</v>
      </c>
      <c r="D3691" s="4" t="str">
        <f t="shared" si="258"/>
        <v>12Go Link</v>
      </c>
      <c r="E3691" s="3" t="s">
        <v>228</v>
      </c>
      <c r="K3691" s="5"/>
    </row>
    <row r="3692">
      <c r="A3692" s="3" t="s">
        <v>3273</v>
      </c>
      <c r="B3692" s="3" t="s">
        <v>3273</v>
      </c>
      <c r="C3692" s="3" t="s">
        <v>3411</v>
      </c>
      <c r="D3692" s="4" t="str">
        <f t="shared" si="258"/>
        <v>12Go Link</v>
      </c>
      <c r="E3692" s="3" t="s">
        <v>3197</v>
      </c>
      <c r="K3692" s="5"/>
    </row>
    <row r="3693">
      <c r="A3693" s="3" t="s">
        <v>3273</v>
      </c>
      <c r="B3693" s="3" t="s">
        <v>3273</v>
      </c>
      <c r="C3693" s="3" t="s">
        <v>3412</v>
      </c>
      <c r="D3693" s="4" t="str">
        <f t="shared" ref="D3693:D3696" si="259">HYPERLINK("https://12go.asia/en/travel/Marsa-Alam-Airport/Madinat-Coraya-Resort", "12Go Link")</f>
        <v>12Go Link</v>
      </c>
      <c r="E3693" s="3" t="s">
        <v>3196</v>
      </c>
      <c r="K3693" s="5"/>
    </row>
    <row r="3694">
      <c r="A3694" s="3" t="s">
        <v>3273</v>
      </c>
      <c r="B3694" s="3" t="s">
        <v>3273</v>
      </c>
      <c r="C3694" s="3" t="s">
        <v>3412</v>
      </c>
      <c r="D3694" s="4" t="str">
        <f t="shared" si="259"/>
        <v>12Go Link</v>
      </c>
      <c r="E3694" s="3" t="s">
        <v>3203</v>
      </c>
      <c r="K3694" s="5"/>
    </row>
    <row r="3695">
      <c r="A3695" s="3" t="s">
        <v>3273</v>
      </c>
      <c r="B3695" s="3" t="s">
        <v>3273</v>
      </c>
      <c r="C3695" s="3" t="s">
        <v>3412</v>
      </c>
      <c r="D3695" s="4" t="str">
        <f t="shared" si="259"/>
        <v>12Go Link</v>
      </c>
      <c r="E3695" s="3" t="s">
        <v>228</v>
      </c>
      <c r="K3695" s="5"/>
    </row>
    <row r="3696">
      <c r="A3696" s="3" t="s">
        <v>3273</v>
      </c>
      <c r="B3696" s="3" t="s">
        <v>3273</v>
      </c>
      <c r="C3696" s="3" t="s">
        <v>3412</v>
      </c>
      <c r="D3696" s="4" t="str">
        <f t="shared" si="259"/>
        <v>12Go Link</v>
      </c>
      <c r="E3696" s="3" t="s">
        <v>3197</v>
      </c>
      <c r="K3696" s="5"/>
    </row>
    <row r="3697">
      <c r="A3697" s="3" t="s">
        <v>3273</v>
      </c>
      <c r="B3697" s="3" t="s">
        <v>3273</v>
      </c>
      <c r="C3697" s="3" t="s">
        <v>3413</v>
      </c>
      <c r="D3697" s="4" t="str">
        <f t="shared" ref="D3697:D3700" si="260">HYPERLINK("https://12go.asia/en/travel/Marsa-Alam-Airport/Marsa-Alam-Hotel-Transfer", "12Go Link")</f>
        <v>12Go Link</v>
      </c>
      <c r="E3697" s="3" t="s">
        <v>3196</v>
      </c>
      <c r="K3697" s="5"/>
    </row>
    <row r="3698">
      <c r="A3698" s="3" t="s">
        <v>3273</v>
      </c>
      <c r="B3698" s="3" t="s">
        <v>3273</v>
      </c>
      <c r="C3698" s="3" t="s">
        <v>3413</v>
      </c>
      <c r="D3698" s="4" t="str">
        <f t="shared" si="260"/>
        <v>12Go Link</v>
      </c>
      <c r="E3698" s="3" t="s">
        <v>3203</v>
      </c>
      <c r="K3698" s="5"/>
    </row>
    <row r="3699">
      <c r="A3699" s="3" t="s">
        <v>3273</v>
      </c>
      <c r="B3699" s="3" t="s">
        <v>3273</v>
      </c>
      <c r="C3699" s="3" t="s">
        <v>3413</v>
      </c>
      <c r="D3699" s="4" t="str">
        <f t="shared" si="260"/>
        <v>12Go Link</v>
      </c>
      <c r="E3699" s="3" t="s">
        <v>228</v>
      </c>
      <c r="K3699" s="5"/>
    </row>
    <row r="3700">
      <c r="A3700" s="3" t="s">
        <v>3273</v>
      </c>
      <c r="B3700" s="3" t="s">
        <v>3273</v>
      </c>
      <c r="C3700" s="3" t="s">
        <v>3413</v>
      </c>
      <c r="D3700" s="4" t="str">
        <f t="shared" si="260"/>
        <v>12Go Link</v>
      </c>
      <c r="E3700" s="3" t="s">
        <v>3197</v>
      </c>
      <c r="K3700" s="5"/>
    </row>
    <row r="3701">
      <c r="A3701" s="3" t="s">
        <v>3273</v>
      </c>
      <c r="B3701" s="3" t="s">
        <v>3273</v>
      </c>
      <c r="C3701" s="3" t="s">
        <v>3414</v>
      </c>
      <c r="D3701" s="4" t="str">
        <f t="shared" ref="D3701:D3704" si="261">HYPERLINK("https://12go.asia/en/travel/Marsa-Alam-Airport/Nabaa-Bay", "12Go Link")</f>
        <v>12Go Link</v>
      </c>
      <c r="E3701" s="3" t="s">
        <v>3196</v>
      </c>
      <c r="K3701" s="5"/>
    </row>
    <row r="3702">
      <c r="A3702" s="3" t="s">
        <v>3273</v>
      </c>
      <c r="B3702" s="3" t="s">
        <v>3273</v>
      </c>
      <c r="C3702" s="3" t="s">
        <v>3414</v>
      </c>
      <c r="D3702" s="4" t="str">
        <f t="shared" si="261"/>
        <v>12Go Link</v>
      </c>
      <c r="E3702" s="3" t="s">
        <v>3203</v>
      </c>
      <c r="K3702" s="5"/>
    </row>
    <row r="3703">
      <c r="A3703" s="3" t="s">
        <v>3273</v>
      </c>
      <c r="B3703" s="3" t="s">
        <v>3273</v>
      </c>
      <c r="C3703" s="3" t="s">
        <v>3414</v>
      </c>
      <c r="D3703" s="4" t="str">
        <f t="shared" si="261"/>
        <v>12Go Link</v>
      </c>
      <c r="E3703" s="3" t="s">
        <v>228</v>
      </c>
      <c r="K3703" s="5"/>
    </row>
    <row r="3704">
      <c r="A3704" s="3" t="s">
        <v>3273</v>
      </c>
      <c r="B3704" s="3" t="s">
        <v>3273</v>
      </c>
      <c r="C3704" s="3" t="s">
        <v>3414</v>
      </c>
      <c r="D3704" s="4" t="str">
        <f t="shared" si="261"/>
        <v>12Go Link</v>
      </c>
      <c r="E3704" s="3" t="s">
        <v>3197</v>
      </c>
      <c r="K3704" s="5"/>
    </row>
    <row r="3705">
      <c r="A3705" s="3" t="s">
        <v>3273</v>
      </c>
      <c r="B3705" s="3" t="s">
        <v>3273</v>
      </c>
      <c r="C3705" s="3" t="s">
        <v>3415</v>
      </c>
      <c r="D3705" s="4" t="str">
        <f t="shared" ref="D3705:D3708" si="262">HYPERLINK("https://12go.asia/en/travel/Marsa-Alam-Airport/Port-Ghalib-Hotel-Transfer", "12Go Link")</f>
        <v>12Go Link</v>
      </c>
      <c r="E3705" s="3" t="s">
        <v>3196</v>
      </c>
      <c r="K3705" s="5"/>
    </row>
    <row r="3706">
      <c r="A3706" s="3" t="s">
        <v>3273</v>
      </c>
      <c r="B3706" s="3" t="s">
        <v>3273</v>
      </c>
      <c r="C3706" s="3" t="s">
        <v>3415</v>
      </c>
      <c r="D3706" s="4" t="str">
        <f t="shared" si="262"/>
        <v>12Go Link</v>
      </c>
      <c r="E3706" s="3" t="s">
        <v>3203</v>
      </c>
      <c r="K3706" s="5"/>
    </row>
    <row r="3707">
      <c r="A3707" s="3" t="s">
        <v>3273</v>
      </c>
      <c r="B3707" s="3" t="s">
        <v>3273</v>
      </c>
      <c r="C3707" s="3" t="s">
        <v>3415</v>
      </c>
      <c r="D3707" s="4" t="str">
        <f t="shared" si="262"/>
        <v>12Go Link</v>
      </c>
      <c r="E3707" s="3" t="s">
        <v>228</v>
      </c>
      <c r="K3707" s="5"/>
    </row>
    <row r="3708">
      <c r="A3708" s="3" t="s">
        <v>3273</v>
      </c>
      <c r="B3708" s="3" t="s">
        <v>3273</v>
      </c>
      <c r="C3708" s="3" t="s">
        <v>3415</v>
      </c>
      <c r="D3708" s="4" t="str">
        <f t="shared" si="262"/>
        <v>12Go Link</v>
      </c>
      <c r="E3708" s="3" t="s">
        <v>3197</v>
      </c>
      <c r="K3708" s="5"/>
    </row>
    <row r="3709">
      <c r="A3709" s="3" t="s">
        <v>3273</v>
      </c>
      <c r="B3709" s="3" t="s">
        <v>3273</v>
      </c>
      <c r="C3709" s="3" t="s">
        <v>3416</v>
      </c>
      <c r="D3709" s="4" t="str">
        <f t="shared" ref="D3709:D3712" si="263">HYPERLINK("https://12go.asia/en/travel/Marsa-Alam-Airport/Shams-Alam-Beach-Resort", "12Go Link")</f>
        <v>12Go Link</v>
      </c>
      <c r="E3709" s="3" t="s">
        <v>3196</v>
      </c>
      <c r="K3709" s="5"/>
    </row>
    <row r="3710">
      <c r="A3710" s="3" t="s">
        <v>3273</v>
      </c>
      <c r="B3710" s="3" t="s">
        <v>3273</v>
      </c>
      <c r="C3710" s="3" t="s">
        <v>3416</v>
      </c>
      <c r="D3710" s="4" t="str">
        <f t="shared" si="263"/>
        <v>12Go Link</v>
      </c>
      <c r="E3710" s="3" t="s">
        <v>3203</v>
      </c>
      <c r="K3710" s="5"/>
    </row>
    <row r="3711">
      <c r="A3711" s="3" t="s">
        <v>3273</v>
      </c>
      <c r="B3711" s="3" t="s">
        <v>3273</v>
      </c>
      <c r="C3711" s="3" t="s">
        <v>3416</v>
      </c>
      <c r="D3711" s="4" t="str">
        <f t="shared" si="263"/>
        <v>12Go Link</v>
      </c>
      <c r="E3711" s="3" t="s">
        <v>228</v>
      </c>
      <c r="K3711" s="5"/>
    </row>
    <row r="3712">
      <c r="A3712" s="3" t="s">
        <v>3273</v>
      </c>
      <c r="B3712" s="3" t="s">
        <v>3273</v>
      </c>
      <c r="C3712" s="3" t="s">
        <v>3416</v>
      </c>
      <c r="D3712" s="4" t="str">
        <f t="shared" si="263"/>
        <v>12Go Link</v>
      </c>
      <c r="E3712" s="3" t="s">
        <v>3197</v>
      </c>
      <c r="K3712" s="5"/>
    </row>
    <row r="3713">
      <c r="A3713" s="3" t="s">
        <v>3273</v>
      </c>
      <c r="B3713" s="3" t="s">
        <v>3273</v>
      </c>
      <c r="C3713" s="3" t="s">
        <v>3417</v>
      </c>
      <c r="D3713" s="4" t="str">
        <f t="shared" ref="D3713:D3716" si="264">HYPERLINK("https://12go.asia/en/travel/Marsa-Alam-Airport/Wadi-Lahmy-Azur-Resort", "12Go Link")</f>
        <v>12Go Link</v>
      </c>
      <c r="E3713" s="3" t="s">
        <v>3196</v>
      </c>
      <c r="K3713" s="5"/>
    </row>
    <row r="3714">
      <c r="A3714" s="3" t="s">
        <v>3273</v>
      </c>
      <c r="B3714" s="3" t="s">
        <v>3273</v>
      </c>
      <c r="C3714" s="3" t="s">
        <v>3417</v>
      </c>
      <c r="D3714" s="4" t="str">
        <f t="shared" si="264"/>
        <v>12Go Link</v>
      </c>
      <c r="E3714" s="3" t="s">
        <v>3203</v>
      </c>
      <c r="K3714" s="5"/>
    </row>
    <row r="3715">
      <c r="A3715" s="3" t="s">
        <v>3273</v>
      </c>
      <c r="B3715" s="3" t="s">
        <v>3273</v>
      </c>
      <c r="C3715" s="3" t="s">
        <v>3417</v>
      </c>
      <c r="D3715" s="4" t="str">
        <f t="shared" si="264"/>
        <v>12Go Link</v>
      </c>
      <c r="E3715" s="3" t="s">
        <v>228</v>
      </c>
      <c r="K3715" s="5"/>
    </row>
    <row r="3716">
      <c r="A3716" s="3" t="s">
        <v>3273</v>
      </c>
      <c r="B3716" s="3" t="s">
        <v>3273</v>
      </c>
      <c r="C3716" s="3" t="s">
        <v>3417</v>
      </c>
      <c r="D3716" s="4" t="str">
        <f t="shared" si="264"/>
        <v>12Go Link</v>
      </c>
      <c r="E3716" s="3" t="s">
        <v>3197</v>
      </c>
      <c r="K3716" s="5"/>
    </row>
    <row r="3717">
      <c r="A3717" s="3" t="s">
        <v>3273</v>
      </c>
      <c r="B3717" s="3" t="s">
        <v>3273</v>
      </c>
      <c r="C3717" s="3" t="s">
        <v>3418</v>
      </c>
      <c r="D3717" s="4" t="str">
        <f t="shared" ref="D3717:D3720" si="265">HYPERLINK("https://12go.asia/en/travel/Marsa-Alam-Hotel-Transfer/Marsa-Alam-Airport", "12Go Link")</f>
        <v>12Go Link</v>
      </c>
      <c r="E3717" s="3" t="s">
        <v>3196</v>
      </c>
      <c r="K3717" s="5"/>
    </row>
    <row r="3718">
      <c r="A3718" s="3" t="s">
        <v>3273</v>
      </c>
      <c r="B3718" s="3" t="s">
        <v>3273</v>
      </c>
      <c r="C3718" s="3" t="s">
        <v>3418</v>
      </c>
      <c r="D3718" s="4" t="str">
        <f t="shared" si="265"/>
        <v>12Go Link</v>
      </c>
      <c r="E3718" s="3" t="s">
        <v>3203</v>
      </c>
      <c r="K3718" s="5"/>
    </row>
    <row r="3719">
      <c r="A3719" s="3" t="s">
        <v>3273</v>
      </c>
      <c r="B3719" s="3" t="s">
        <v>3273</v>
      </c>
      <c r="C3719" s="3" t="s">
        <v>3418</v>
      </c>
      <c r="D3719" s="4" t="str">
        <f t="shared" si="265"/>
        <v>12Go Link</v>
      </c>
      <c r="E3719" s="3" t="s">
        <v>228</v>
      </c>
      <c r="K3719" s="5"/>
    </row>
    <row r="3720">
      <c r="A3720" s="3" t="s">
        <v>3273</v>
      </c>
      <c r="B3720" s="3" t="s">
        <v>3273</v>
      </c>
      <c r="C3720" s="3" t="s">
        <v>3418</v>
      </c>
      <c r="D3720" s="4" t="str">
        <f t="shared" si="265"/>
        <v>12Go Link</v>
      </c>
      <c r="E3720" s="3" t="s">
        <v>3197</v>
      </c>
      <c r="K3720" s="5"/>
    </row>
    <row r="3721">
      <c r="A3721" s="3" t="s">
        <v>3273</v>
      </c>
      <c r="B3721" s="3" t="s">
        <v>3273</v>
      </c>
      <c r="C3721" s="3" t="s">
        <v>3419</v>
      </c>
      <c r="D3721" s="4" t="str">
        <f t="shared" ref="D3721:D3724" si="266">HYPERLINK("https://12go.asia/en/travel/Nabaa-Bay/Marsa-Alam-Airport", "12Go Link")</f>
        <v>12Go Link</v>
      </c>
      <c r="E3721" s="3" t="s">
        <v>3196</v>
      </c>
      <c r="K3721" s="5"/>
    </row>
    <row r="3722">
      <c r="A3722" s="3" t="s">
        <v>3273</v>
      </c>
      <c r="B3722" s="3" t="s">
        <v>3273</v>
      </c>
      <c r="C3722" s="3" t="s">
        <v>3419</v>
      </c>
      <c r="D3722" s="4" t="str">
        <f t="shared" si="266"/>
        <v>12Go Link</v>
      </c>
      <c r="E3722" s="3" t="s">
        <v>3203</v>
      </c>
      <c r="K3722" s="5"/>
    </row>
    <row r="3723">
      <c r="A3723" s="3" t="s">
        <v>3273</v>
      </c>
      <c r="B3723" s="3" t="s">
        <v>3273</v>
      </c>
      <c r="C3723" s="3" t="s">
        <v>3419</v>
      </c>
      <c r="D3723" s="4" t="str">
        <f t="shared" si="266"/>
        <v>12Go Link</v>
      </c>
      <c r="E3723" s="3" t="s">
        <v>228</v>
      </c>
      <c r="K3723" s="5"/>
    </row>
    <row r="3724">
      <c r="A3724" s="3" t="s">
        <v>3273</v>
      </c>
      <c r="B3724" s="3" t="s">
        <v>3273</v>
      </c>
      <c r="C3724" s="3" t="s">
        <v>3419</v>
      </c>
      <c r="D3724" s="4" t="str">
        <f t="shared" si="266"/>
        <v>12Go Link</v>
      </c>
      <c r="E3724" s="3" t="s">
        <v>3197</v>
      </c>
      <c r="K3724" s="5"/>
    </row>
    <row r="3725">
      <c r="A3725" s="3" t="s">
        <v>3273</v>
      </c>
      <c r="B3725" s="3" t="s">
        <v>3273</v>
      </c>
      <c r="C3725" s="3" t="s">
        <v>3420</v>
      </c>
      <c r="D3725" s="4" t="str">
        <f t="shared" ref="D3725:D3728" si="267">HYPERLINK("https://12go.asia/en/travel/Port-Ghalib-Hotel-Transfer/Marsa-Alam-Airport", "12Go Link")</f>
        <v>12Go Link</v>
      </c>
      <c r="E3725" s="3" t="s">
        <v>3196</v>
      </c>
      <c r="K3725" s="5"/>
    </row>
    <row r="3726">
      <c r="A3726" s="3" t="s">
        <v>3273</v>
      </c>
      <c r="B3726" s="3" t="s">
        <v>3273</v>
      </c>
      <c r="C3726" s="3" t="s">
        <v>3420</v>
      </c>
      <c r="D3726" s="4" t="str">
        <f t="shared" si="267"/>
        <v>12Go Link</v>
      </c>
      <c r="E3726" s="3" t="s">
        <v>3203</v>
      </c>
      <c r="K3726" s="5"/>
    </row>
    <row r="3727">
      <c r="A3727" s="3" t="s">
        <v>3273</v>
      </c>
      <c r="B3727" s="3" t="s">
        <v>3273</v>
      </c>
      <c r="C3727" s="3" t="s">
        <v>3420</v>
      </c>
      <c r="D3727" s="4" t="str">
        <f t="shared" si="267"/>
        <v>12Go Link</v>
      </c>
      <c r="E3727" s="3" t="s">
        <v>228</v>
      </c>
      <c r="K3727" s="5"/>
    </row>
    <row r="3728">
      <c r="A3728" s="3" t="s">
        <v>3273</v>
      </c>
      <c r="B3728" s="3" t="s">
        <v>3273</v>
      </c>
      <c r="C3728" s="3" t="s">
        <v>3420</v>
      </c>
      <c r="D3728" s="4" t="str">
        <f t="shared" si="267"/>
        <v>12Go Link</v>
      </c>
      <c r="E3728" s="3" t="s">
        <v>3197</v>
      </c>
      <c r="K3728" s="5"/>
    </row>
    <row r="3729">
      <c r="A3729" s="3" t="s">
        <v>3273</v>
      </c>
      <c r="B3729" s="3" t="s">
        <v>3273</v>
      </c>
      <c r="C3729" s="3" t="s">
        <v>3421</v>
      </c>
      <c r="D3729" s="4" t="str">
        <f t="shared" ref="D3729:D3732" si="268">HYPERLINK("https://12go.asia/en/travel/Shams-Alam-Beach-Resort/Marsa-Alam-Airport", "12Go Link")</f>
        <v>12Go Link</v>
      </c>
      <c r="E3729" s="3" t="s">
        <v>3196</v>
      </c>
      <c r="K3729" s="5"/>
    </row>
    <row r="3730">
      <c r="A3730" s="3" t="s">
        <v>3273</v>
      </c>
      <c r="B3730" s="3" t="s">
        <v>3273</v>
      </c>
      <c r="C3730" s="3" t="s">
        <v>3421</v>
      </c>
      <c r="D3730" s="4" t="str">
        <f t="shared" si="268"/>
        <v>12Go Link</v>
      </c>
      <c r="E3730" s="3" t="s">
        <v>3203</v>
      </c>
      <c r="K3730" s="5"/>
    </row>
    <row r="3731">
      <c r="A3731" s="3" t="s">
        <v>3273</v>
      </c>
      <c r="B3731" s="3" t="s">
        <v>3273</v>
      </c>
      <c r="C3731" s="3" t="s">
        <v>3421</v>
      </c>
      <c r="D3731" s="4" t="str">
        <f t="shared" si="268"/>
        <v>12Go Link</v>
      </c>
      <c r="E3731" s="3" t="s">
        <v>228</v>
      </c>
      <c r="K3731" s="5"/>
    </row>
    <row r="3732">
      <c r="A3732" s="3" t="s">
        <v>3273</v>
      </c>
      <c r="B3732" s="3" t="s">
        <v>3273</v>
      </c>
      <c r="C3732" s="3" t="s">
        <v>3421</v>
      </c>
      <c r="D3732" s="4" t="str">
        <f t="shared" si="268"/>
        <v>12Go Link</v>
      </c>
      <c r="E3732" s="3" t="s">
        <v>3197</v>
      </c>
      <c r="K3732" s="5"/>
    </row>
    <row r="3733">
      <c r="A3733" s="3" t="s">
        <v>3273</v>
      </c>
      <c r="B3733" s="3" t="s">
        <v>3273</v>
      </c>
      <c r="C3733" s="3" t="s">
        <v>3422</v>
      </c>
      <c r="D3733" s="4" t="str">
        <f t="shared" ref="D3733:D3736" si="269">HYPERLINK("https://12go.asia/en/travel/Wadi-Lahmy-Azur-Resort/Marsa-Alam-Airport", "12Go Link")</f>
        <v>12Go Link</v>
      </c>
      <c r="E3733" s="3" t="s">
        <v>3196</v>
      </c>
      <c r="K3733" s="5"/>
    </row>
    <row r="3734">
      <c r="A3734" s="3" t="s">
        <v>3273</v>
      </c>
      <c r="B3734" s="3" t="s">
        <v>3273</v>
      </c>
      <c r="C3734" s="3" t="s">
        <v>3422</v>
      </c>
      <c r="D3734" s="4" t="str">
        <f t="shared" si="269"/>
        <v>12Go Link</v>
      </c>
      <c r="E3734" s="3" t="s">
        <v>3203</v>
      </c>
      <c r="K3734" s="5"/>
    </row>
    <row r="3735">
      <c r="A3735" s="3" t="s">
        <v>3273</v>
      </c>
      <c r="B3735" s="3" t="s">
        <v>3273</v>
      </c>
      <c r="C3735" s="3" t="s">
        <v>3422</v>
      </c>
      <c r="D3735" s="4" t="str">
        <f t="shared" si="269"/>
        <v>12Go Link</v>
      </c>
      <c r="E3735" s="3" t="s">
        <v>228</v>
      </c>
      <c r="K3735" s="5"/>
    </row>
    <row r="3736">
      <c r="A3736" s="3" t="s">
        <v>3273</v>
      </c>
      <c r="B3736" s="3" t="s">
        <v>3273</v>
      </c>
      <c r="C3736" s="3" t="s">
        <v>3422</v>
      </c>
      <c r="D3736" s="4" t="str">
        <f t="shared" si="269"/>
        <v>12Go Link</v>
      </c>
      <c r="E3736" s="3" t="s">
        <v>3197</v>
      </c>
      <c r="K3736" s="5"/>
    </row>
    <row r="3737">
      <c r="A3737" s="3" t="s">
        <v>3273</v>
      </c>
      <c r="B3737" s="3" t="s">
        <v>3350</v>
      </c>
      <c r="C3737" s="3" t="s">
        <v>3423</v>
      </c>
      <c r="D3737" s="4" t="str">
        <f t="shared" ref="D3737:D3740" si="270">HYPERLINK("https://12go.asia/en/travel/Marsa-Alam-Airport/Magic-Life-Club-Kalawy-Imperial-Resort", "12Go Link")</f>
        <v>12Go Link</v>
      </c>
      <c r="E3737" s="3" t="s">
        <v>3196</v>
      </c>
      <c r="K3737" s="5"/>
    </row>
    <row r="3738">
      <c r="A3738" s="3" t="s">
        <v>3273</v>
      </c>
      <c r="B3738" s="3" t="s">
        <v>3350</v>
      </c>
      <c r="C3738" s="3" t="s">
        <v>3423</v>
      </c>
      <c r="D3738" s="4" t="str">
        <f t="shared" si="270"/>
        <v>12Go Link</v>
      </c>
      <c r="E3738" s="3" t="s">
        <v>3203</v>
      </c>
      <c r="K3738" s="5"/>
    </row>
    <row r="3739">
      <c r="A3739" s="3" t="s">
        <v>3273</v>
      </c>
      <c r="B3739" s="3" t="s">
        <v>3350</v>
      </c>
      <c r="C3739" s="3" t="s">
        <v>3423</v>
      </c>
      <c r="D3739" s="4" t="str">
        <f t="shared" si="270"/>
        <v>12Go Link</v>
      </c>
      <c r="E3739" s="3" t="s">
        <v>228</v>
      </c>
      <c r="K3739" s="5"/>
    </row>
    <row r="3740">
      <c r="A3740" s="3" t="s">
        <v>3273</v>
      </c>
      <c r="B3740" s="3" t="s">
        <v>3350</v>
      </c>
      <c r="C3740" s="3" t="s">
        <v>3423</v>
      </c>
      <c r="D3740" s="4" t="str">
        <f t="shared" si="270"/>
        <v>12Go Link</v>
      </c>
      <c r="E3740" s="3" t="s">
        <v>3197</v>
      </c>
      <c r="K3740" s="5"/>
    </row>
    <row r="3741">
      <c r="A3741" s="3" t="s">
        <v>3273</v>
      </c>
      <c r="B3741" s="3" t="s">
        <v>3350</v>
      </c>
      <c r="C3741" s="3" t="s">
        <v>3424</v>
      </c>
      <c r="D3741" s="4" t="str">
        <f t="shared" ref="D3741:D3744" si="271">HYPERLINK("https://12go.asia/en/travel/Marsa-Alam-Airport/Safaga-Hotel-Transfer", "12Go Link")</f>
        <v>12Go Link</v>
      </c>
      <c r="E3741" s="3" t="s">
        <v>3196</v>
      </c>
      <c r="K3741" s="5"/>
    </row>
    <row r="3742">
      <c r="A3742" s="3" t="s">
        <v>3273</v>
      </c>
      <c r="B3742" s="3" t="s">
        <v>3350</v>
      </c>
      <c r="C3742" s="3" t="s">
        <v>3424</v>
      </c>
      <c r="D3742" s="4" t="str">
        <f t="shared" si="271"/>
        <v>12Go Link</v>
      </c>
      <c r="E3742" s="3" t="s">
        <v>3203</v>
      </c>
      <c r="K3742" s="5"/>
    </row>
    <row r="3743">
      <c r="A3743" s="3" t="s">
        <v>3273</v>
      </c>
      <c r="B3743" s="3" t="s">
        <v>3350</v>
      </c>
      <c r="C3743" s="3" t="s">
        <v>3424</v>
      </c>
      <c r="D3743" s="4" t="str">
        <f t="shared" si="271"/>
        <v>12Go Link</v>
      </c>
      <c r="E3743" s="3" t="s">
        <v>228</v>
      </c>
      <c r="K3743" s="5"/>
    </row>
    <row r="3744">
      <c r="A3744" s="3" t="s">
        <v>3273</v>
      </c>
      <c r="B3744" s="3" t="s">
        <v>3350</v>
      </c>
      <c r="C3744" s="3" t="s">
        <v>3424</v>
      </c>
      <c r="D3744" s="4" t="str">
        <f t="shared" si="271"/>
        <v>12Go Link</v>
      </c>
      <c r="E3744" s="3" t="s">
        <v>3197</v>
      </c>
      <c r="K3744" s="5"/>
    </row>
    <row r="3745">
      <c r="A3745" s="3" t="s">
        <v>3425</v>
      </c>
      <c r="B3745" s="3" t="s">
        <v>3426</v>
      </c>
      <c r="C3745" s="3" t="s">
        <v>3427</v>
      </c>
      <c r="D3745" s="4" t="str">
        <f t="shared" ref="D3745:D3747" si="272">HYPERLINK("https://12go.asia/en/travel/Marsa-Matruh-Hotel-Transfer/Tanta-Hotel-Transfer", "12Go Link")</f>
        <v>12Go Link</v>
      </c>
      <c r="E3745" s="3" t="s">
        <v>3196</v>
      </c>
      <c r="K3745" s="5"/>
    </row>
    <row r="3746">
      <c r="A3746" s="3" t="s">
        <v>3425</v>
      </c>
      <c r="B3746" s="3" t="s">
        <v>3426</v>
      </c>
      <c r="C3746" s="3" t="s">
        <v>3427</v>
      </c>
      <c r="D3746" s="4" t="str">
        <f t="shared" si="272"/>
        <v>12Go Link</v>
      </c>
      <c r="E3746" s="3" t="s">
        <v>3203</v>
      </c>
      <c r="K3746" s="5"/>
    </row>
    <row r="3747">
      <c r="A3747" s="3" t="s">
        <v>3425</v>
      </c>
      <c r="B3747" s="3" t="s">
        <v>3426</v>
      </c>
      <c r="C3747" s="3" t="s">
        <v>3427</v>
      </c>
      <c r="D3747" s="4" t="str">
        <f t="shared" si="272"/>
        <v>12Go Link</v>
      </c>
      <c r="E3747" s="3" t="s">
        <v>228</v>
      </c>
      <c r="K3747" s="5"/>
    </row>
    <row r="3748">
      <c r="A3748" s="3" t="s">
        <v>3428</v>
      </c>
      <c r="B3748" s="3" t="s">
        <v>3279</v>
      </c>
      <c r="C3748" s="3" t="s">
        <v>3429</v>
      </c>
      <c r="D3748" s="4" t="str">
        <f t="shared" ref="D3748:D3750" si="273">HYPERLINK("https://12go.asia/en/travel/Nuweiba-Hotel-Transfer/Sharm-El-Sheikh-Intl-Airport", "12Go Link")</f>
        <v>12Go Link</v>
      </c>
      <c r="E3748" s="3" t="s">
        <v>3196</v>
      </c>
      <c r="K3748" s="5"/>
    </row>
    <row r="3749">
      <c r="A3749" s="3" t="s">
        <v>3428</v>
      </c>
      <c r="B3749" s="3" t="s">
        <v>3279</v>
      </c>
      <c r="C3749" s="3" t="s">
        <v>3429</v>
      </c>
      <c r="D3749" s="4" t="str">
        <f t="shared" si="273"/>
        <v>12Go Link</v>
      </c>
      <c r="E3749" s="3" t="s">
        <v>3203</v>
      </c>
      <c r="K3749" s="5"/>
    </row>
    <row r="3750">
      <c r="A3750" s="3" t="s">
        <v>3428</v>
      </c>
      <c r="B3750" s="3" t="s">
        <v>3279</v>
      </c>
      <c r="C3750" s="3" t="s">
        <v>3429</v>
      </c>
      <c r="D3750" s="4" t="str">
        <f t="shared" si="273"/>
        <v>12Go Link</v>
      </c>
      <c r="E3750" s="3" t="s">
        <v>228</v>
      </c>
      <c r="K3750" s="5"/>
    </row>
    <row r="3751">
      <c r="A3751" s="3" t="s">
        <v>3276</v>
      </c>
      <c r="B3751" s="3" t="s">
        <v>3192</v>
      </c>
      <c r="C3751" s="3" t="s">
        <v>3430</v>
      </c>
      <c r="D3751" s="4" t="str">
        <f t="shared" ref="D3751:D3754" si="274">HYPERLINK("https://12go.asia/en/travel/Port-Said-Hotel-Transfer/Cairo-Hotel-Transfer", "12Go Link")</f>
        <v>12Go Link</v>
      </c>
      <c r="E3751" s="3" t="s">
        <v>3194</v>
      </c>
      <c r="K3751" s="5"/>
    </row>
    <row r="3752">
      <c r="A3752" s="3" t="s">
        <v>3276</v>
      </c>
      <c r="B3752" s="3" t="s">
        <v>3192</v>
      </c>
      <c r="C3752" s="3" t="s">
        <v>3430</v>
      </c>
      <c r="D3752" s="4" t="str">
        <f t="shared" si="274"/>
        <v>12Go Link</v>
      </c>
      <c r="E3752" s="3" t="s">
        <v>3195</v>
      </c>
      <c r="K3752" s="5"/>
    </row>
    <row r="3753">
      <c r="A3753" s="3" t="s">
        <v>3276</v>
      </c>
      <c r="B3753" s="3" t="s">
        <v>3192</v>
      </c>
      <c r="C3753" s="3" t="s">
        <v>3430</v>
      </c>
      <c r="D3753" s="4" t="str">
        <f t="shared" si="274"/>
        <v>12Go Link</v>
      </c>
      <c r="E3753" s="3" t="s">
        <v>3196</v>
      </c>
      <c r="K3753" s="5"/>
    </row>
    <row r="3754">
      <c r="A3754" s="3" t="s">
        <v>3276</v>
      </c>
      <c r="B3754" s="3" t="s">
        <v>3192</v>
      </c>
      <c r="C3754" s="3" t="s">
        <v>3430</v>
      </c>
      <c r="D3754" s="4" t="str">
        <f t="shared" si="274"/>
        <v>12Go Link</v>
      </c>
      <c r="E3754" s="3" t="s">
        <v>3197</v>
      </c>
      <c r="K3754" s="5"/>
    </row>
    <row r="3755">
      <c r="A3755" s="3" t="s">
        <v>3276</v>
      </c>
      <c r="B3755" s="3" t="s">
        <v>3192</v>
      </c>
      <c r="C3755" s="3" t="s">
        <v>3431</v>
      </c>
      <c r="D3755" s="4" t="str">
        <f t="shared" ref="D3755:D3758" si="275">HYPERLINK("https://12go.asia/en/travel/Port-Said-Hotel-Transfer/Cairo-International-Airport", "12Go Link")</f>
        <v>12Go Link</v>
      </c>
      <c r="E3755" s="3" t="s">
        <v>3194</v>
      </c>
      <c r="K3755" s="5"/>
    </row>
    <row r="3756">
      <c r="A3756" s="3" t="s">
        <v>3276</v>
      </c>
      <c r="B3756" s="3" t="s">
        <v>3192</v>
      </c>
      <c r="C3756" s="3" t="s">
        <v>3431</v>
      </c>
      <c r="D3756" s="4" t="str">
        <f t="shared" si="275"/>
        <v>12Go Link</v>
      </c>
      <c r="E3756" s="3" t="s">
        <v>3195</v>
      </c>
      <c r="K3756" s="5"/>
    </row>
    <row r="3757">
      <c r="A3757" s="3" t="s">
        <v>3276</v>
      </c>
      <c r="B3757" s="3" t="s">
        <v>3192</v>
      </c>
      <c r="C3757" s="3" t="s">
        <v>3431</v>
      </c>
      <c r="D3757" s="4" t="str">
        <f t="shared" si="275"/>
        <v>12Go Link</v>
      </c>
      <c r="E3757" s="3" t="s">
        <v>3196</v>
      </c>
      <c r="K3757" s="5"/>
    </row>
    <row r="3758">
      <c r="A3758" s="3" t="s">
        <v>3276</v>
      </c>
      <c r="B3758" s="3" t="s">
        <v>3192</v>
      </c>
      <c r="C3758" s="3" t="s">
        <v>3431</v>
      </c>
      <c r="D3758" s="4" t="str">
        <f t="shared" si="275"/>
        <v>12Go Link</v>
      </c>
      <c r="E3758" s="3" t="s">
        <v>3197</v>
      </c>
      <c r="K3758" s="5"/>
    </row>
    <row r="3759">
      <c r="A3759" s="3" t="s">
        <v>3380</v>
      </c>
      <c r="B3759" s="3" t="s">
        <v>3219</v>
      </c>
      <c r="C3759" s="3" t="s">
        <v>3432</v>
      </c>
      <c r="D3759" s="4" t="str">
        <f t="shared" ref="D3759:D3762" si="276">HYPERLINK("https://12go.asia/en/travel/Qena-Hotel-Transfer/Luxor-International-Airport", "12Go Link")</f>
        <v>12Go Link</v>
      </c>
      <c r="E3759" s="3" t="s">
        <v>3196</v>
      </c>
      <c r="K3759" s="5"/>
    </row>
    <row r="3760">
      <c r="A3760" s="3" t="s">
        <v>3380</v>
      </c>
      <c r="B3760" s="3" t="s">
        <v>3219</v>
      </c>
      <c r="C3760" s="3" t="s">
        <v>3432</v>
      </c>
      <c r="D3760" s="4" t="str">
        <f t="shared" si="276"/>
        <v>12Go Link</v>
      </c>
      <c r="E3760" s="3" t="s">
        <v>3203</v>
      </c>
      <c r="K3760" s="5"/>
    </row>
    <row r="3761">
      <c r="A3761" s="3" t="s">
        <v>3380</v>
      </c>
      <c r="B3761" s="3" t="s">
        <v>3219</v>
      </c>
      <c r="C3761" s="3" t="s">
        <v>3432</v>
      </c>
      <c r="D3761" s="4" t="str">
        <f t="shared" si="276"/>
        <v>12Go Link</v>
      </c>
      <c r="E3761" s="3" t="s">
        <v>228</v>
      </c>
      <c r="K3761" s="5"/>
    </row>
    <row r="3762">
      <c r="A3762" s="3" t="s">
        <v>3380</v>
      </c>
      <c r="B3762" s="3" t="s">
        <v>3219</v>
      </c>
      <c r="C3762" s="3" t="s">
        <v>3432</v>
      </c>
      <c r="D3762" s="4" t="str">
        <f t="shared" si="276"/>
        <v>12Go Link</v>
      </c>
      <c r="E3762" s="3" t="s">
        <v>3197</v>
      </c>
      <c r="K3762" s="5"/>
    </row>
    <row r="3763">
      <c r="A3763" s="3" t="s">
        <v>3433</v>
      </c>
      <c r="B3763" s="3" t="s">
        <v>3279</v>
      </c>
      <c r="C3763" s="3" t="s">
        <v>3434</v>
      </c>
      <c r="D3763" s="4" t="str">
        <f t="shared" ref="D3763:D3765" si="277">HYPERLINK("https://12go.asia/en/travel/Ras-Sedr-Hotel-Transfer/Sharm-El-Sheikh-Intl-Airport", "12Go Link")</f>
        <v>12Go Link</v>
      </c>
      <c r="E3763" s="3" t="s">
        <v>3196</v>
      </c>
      <c r="K3763" s="5"/>
    </row>
    <row r="3764">
      <c r="A3764" s="3" t="s">
        <v>3433</v>
      </c>
      <c r="B3764" s="3" t="s">
        <v>3279</v>
      </c>
      <c r="C3764" s="3" t="s">
        <v>3434</v>
      </c>
      <c r="D3764" s="4" t="str">
        <f t="shared" si="277"/>
        <v>12Go Link</v>
      </c>
      <c r="E3764" s="3" t="s">
        <v>3203</v>
      </c>
      <c r="K3764" s="5"/>
    </row>
    <row r="3765">
      <c r="A3765" s="3" t="s">
        <v>3433</v>
      </c>
      <c r="B3765" s="3" t="s">
        <v>3279</v>
      </c>
      <c r="C3765" s="3" t="s">
        <v>3434</v>
      </c>
      <c r="D3765" s="4" t="str">
        <f t="shared" si="277"/>
        <v>12Go Link</v>
      </c>
      <c r="E3765" s="3" t="s">
        <v>228</v>
      </c>
      <c r="K3765" s="5"/>
    </row>
    <row r="3766">
      <c r="A3766" s="3" t="s">
        <v>3350</v>
      </c>
      <c r="B3766" s="3" t="s">
        <v>3214</v>
      </c>
      <c r="C3766" s="3" t="s">
        <v>3435</v>
      </c>
      <c r="D3766" s="4" t="str">
        <f t="shared" ref="D3766:D3767" si="278">HYPERLINK("https://12go.asia/en/travel/Magic-Life-Club-Kalawy-Imperial-Resort/Hurghada-Intl-Airport", "12Go Link")</f>
        <v>12Go Link</v>
      </c>
      <c r="E3766" s="3" t="s">
        <v>3265</v>
      </c>
      <c r="K3766" s="5"/>
    </row>
    <row r="3767">
      <c r="A3767" s="3" t="s">
        <v>3350</v>
      </c>
      <c r="B3767" s="3" t="s">
        <v>3214</v>
      </c>
      <c r="C3767" s="3" t="s">
        <v>3435</v>
      </c>
      <c r="D3767" s="4" t="str">
        <f t="shared" si="278"/>
        <v>12Go Link</v>
      </c>
      <c r="E3767" s="3" t="s">
        <v>3196</v>
      </c>
      <c r="K3767" s="5"/>
    </row>
    <row r="3768">
      <c r="A3768" s="3" t="s">
        <v>3350</v>
      </c>
      <c r="B3768" s="3" t="s">
        <v>3214</v>
      </c>
      <c r="C3768" s="3" t="s">
        <v>3436</v>
      </c>
      <c r="D3768" s="4" t="str">
        <f t="shared" ref="D3768:D3769" si="279">HYPERLINK("https://12go.asia/en/travel/Safaga-Hotel-Transfer/Hurghada-Intl-Airport", "12Go Link")</f>
        <v>12Go Link</v>
      </c>
      <c r="E3768" s="3" t="s">
        <v>3265</v>
      </c>
      <c r="K3768" s="5"/>
    </row>
    <row r="3769">
      <c r="A3769" s="3" t="s">
        <v>3350</v>
      </c>
      <c r="B3769" s="3" t="s">
        <v>3214</v>
      </c>
      <c r="C3769" s="3" t="s">
        <v>3436</v>
      </c>
      <c r="D3769" s="4" t="str">
        <f t="shared" si="279"/>
        <v>12Go Link</v>
      </c>
      <c r="E3769" s="3" t="s">
        <v>3196</v>
      </c>
      <c r="K3769" s="5"/>
    </row>
    <row r="3770">
      <c r="A3770" s="3" t="s">
        <v>3350</v>
      </c>
      <c r="B3770" s="3" t="s">
        <v>3219</v>
      </c>
      <c r="C3770" s="3" t="s">
        <v>3437</v>
      </c>
      <c r="D3770" s="4" t="str">
        <f t="shared" ref="D3770:D3773" si="280">HYPERLINK("https://12go.asia/en/travel/Safaga-Hotel-Transfer/Luxor-International-Airport", "12Go Link")</f>
        <v>12Go Link</v>
      </c>
      <c r="E3770" s="3" t="s">
        <v>3196</v>
      </c>
      <c r="K3770" s="5"/>
    </row>
    <row r="3771">
      <c r="A3771" s="3" t="s">
        <v>3350</v>
      </c>
      <c r="B3771" s="3" t="s">
        <v>3219</v>
      </c>
      <c r="C3771" s="3" t="s">
        <v>3437</v>
      </c>
      <c r="D3771" s="4" t="str">
        <f t="shared" si="280"/>
        <v>12Go Link</v>
      </c>
      <c r="E3771" s="3" t="s">
        <v>3203</v>
      </c>
      <c r="K3771" s="5"/>
    </row>
    <row r="3772">
      <c r="A3772" s="3" t="s">
        <v>3350</v>
      </c>
      <c r="B3772" s="3" t="s">
        <v>3219</v>
      </c>
      <c r="C3772" s="3" t="s">
        <v>3437</v>
      </c>
      <c r="D3772" s="4" t="str">
        <f t="shared" si="280"/>
        <v>12Go Link</v>
      </c>
      <c r="E3772" s="3" t="s">
        <v>228</v>
      </c>
      <c r="K3772" s="5"/>
    </row>
    <row r="3773">
      <c r="A3773" s="3" t="s">
        <v>3350</v>
      </c>
      <c r="B3773" s="3" t="s">
        <v>3219</v>
      </c>
      <c r="C3773" s="3" t="s">
        <v>3437</v>
      </c>
      <c r="D3773" s="4" t="str">
        <f t="shared" si="280"/>
        <v>12Go Link</v>
      </c>
      <c r="E3773" s="3" t="s">
        <v>3197</v>
      </c>
      <c r="K3773" s="5"/>
    </row>
    <row r="3774">
      <c r="A3774" s="3" t="s">
        <v>3350</v>
      </c>
      <c r="B3774" s="3" t="s">
        <v>3273</v>
      </c>
      <c r="C3774" s="3" t="s">
        <v>3438</v>
      </c>
      <c r="D3774" s="4" t="str">
        <f t="shared" ref="D3774:D3777" si="281">HYPERLINK("https://12go.asia/en/travel/Magic-Life-Club-Kalawy-Imperial-Resort/Marsa-Alam-Airport", "12Go Link")</f>
        <v>12Go Link</v>
      </c>
      <c r="E3774" s="3" t="s">
        <v>3196</v>
      </c>
      <c r="K3774" s="5"/>
    </row>
    <row r="3775">
      <c r="A3775" s="3" t="s">
        <v>3350</v>
      </c>
      <c r="B3775" s="3" t="s">
        <v>3273</v>
      </c>
      <c r="C3775" s="3" t="s">
        <v>3438</v>
      </c>
      <c r="D3775" s="4" t="str">
        <f t="shared" si="281"/>
        <v>12Go Link</v>
      </c>
      <c r="E3775" s="3" t="s">
        <v>3203</v>
      </c>
      <c r="K3775" s="5"/>
    </row>
    <row r="3776">
      <c r="A3776" s="3" t="s">
        <v>3350</v>
      </c>
      <c r="B3776" s="3" t="s">
        <v>3273</v>
      </c>
      <c r="C3776" s="3" t="s">
        <v>3438</v>
      </c>
      <c r="D3776" s="4" t="str">
        <f t="shared" si="281"/>
        <v>12Go Link</v>
      </c>
      <c r="E3776" s="3" t="s">
        <v>228</v>
      </c>
      <c r="K3776" s="5"/>
    </row>
    <row r="3777">
      <c r="A3777" s="3" t="s">
        <v>3350</v>
      </c>
      <c r="B3777" s="3" t="s">
        <v>3273</v>
      </c>
      <c r="C3777" s="3" t="s">
        <v>3438</v>
      </c>
      <c r="D3777" s="4" t="str">
        <f t="shared" si="281"/>
        <v>12Go Link</v>
      </c>
      <c r="E3777" s="3" t="s">
        <v>3197</v>
      </c>
      <c r="K3777" s="5"/>
    </row>
    <row r="3778">
      <c r="A3778" s="3" t="s">
        <v>3350</v>
      </c>
      <c r="B3778" s="3" t="s">
        <v>3273</v>
      </c>
      <c r="C3778" s="3" t="s">
        <v>3439</v>
      </c>
      <c r="D3778" s="4" t="str">
        <f t="shared" ref="D3778:D3781" si="282">HYPERLINK("https://12go.asia/en/travel/Safaga-Hotel-Transfer/Marsa-Alam-Airport", "12Go Link")</f>
        <v>12Go Link</v>
      </c>
      <c r="E3778" s="3" t="s">
        <v>3196</v>
      </c>
      <c r="K3778" s="5"/>
    </row>
    <row r="3779">
      <c r="A3779" s="3" t="s">
        <v>3350</v>
      </c>
      <c r="B3779" s="3" t="s">
        <v>3273</v>
      </c>
      <c r="C3779" s="3" t="s">
        <v>3439</v>
      </c>
      <c r="D3779" s="4" t="str">
        <f t="shared" si="282"/>
        <v>12Go Link</v>
      </c>
      <c r="E3779" s="3" t="s">
        <v>3203</v>
      </c>
      <c r="K3779" s="5"/>
    </row>
    <row r="3780">
      <c r="A3780" s="3" t="s">
        <v>3350</v>
      </c>
      <c r="B3780" s="3" t="s">
        <v>3273</v>
      </c>
      <c r="C3780" s="3" t="s">
        <v>3439</v>
      </c>
      <c r="D3780" s="4" t="str">
        <f t="shared" si="282"/>
        <v>12Go Link</v>
      </c>
      <c r="E3780" s="3" t="s">
        <v>228</v>
      </c>
      <c r="K3780" s="5"/>
    </row>
    <row r="3781">
      <c r="A3781" s="3" t="s">
        <v>3350</v>
      </c>
      <c r="B3781" s="3" t="s">
        <v>3273</v>
      </c>
      <c r="C3781" s="3" t="s">
        <v>3439</v>
      </c>
      <c r="D3781" s="4" t="str">
        <f t="shared" si="282"/>
        <v>12Go Link</v>
      </c>
      <c r="E3781" s="3" t="s">
        <v>3197</v>
      </c>
      <c r="K3781" s="5"/>
    </row>
    <row r="3782">
      <c r="A3782" s="3" t="s">
        <v>3279</v>
      </c>
      <c r="B3782" s="3" t="s">
        <v>3192</v>
      </c>
      <c r="C3782" s="3" t="s">
        <v>3440</v>
      </c>
      <c r="D3782" s="4" t="str">
        <f t="shared" ref="D3782:D3785" si="283">HYPERLINK("https://12go.asia/en/travel/Sharm-El-Sheikh-Hotel-Transfer/Cairo-Hotel-Transfer", "12Go Link")</f>
        <v>12Go Link</v>
      </c>
      <c r="E3782" s="3" t="s">
        <v>3194</v>
      </c>
      <c r="K3782" s="5"/>
    </row>
    <row r="3783">
      <c r="A3783" s="3" t="s">
        <v>3279</v>
      </c>
      <c r="B3783" s="3" t="s">
        <v>3192</v>
      </c>
      <c r="C3783" s="3" t="s">
        <v>3440</v>
      </c>
      <c r="D3783" s="4" t="str">
        <f t="shared" si="283"/>
        <v>12Go Link</v>
      </c>
      <c r="E3783" s="3" t="s">
        <v>3195</v>
      </c>
      <c r="K3783" s="5"/>
    </row>
    <row r="3784">
      <c r="A3784" s="3" t="s">
        <v>3279</v>
      </c>
      <c r="B3784" s="3" t="s">
        <v>3192</v>
      </c>
      <c r="C3784" s="3" t="s">
        <v>3440</v>
      </c>
      <c r="D3784" s="4" t="str">
        <f t="shared" si="283"/>
        <v>12Go Link</v>
      </c>
      <c r="E3784" s="3" t="s">
        <v>3196</v>
      </c>
      <c r="K3784" s="5"/>
    </row>
    <row r="3785">
      <c r="A3785" s="3" t="s">
        <v>3279</v>
      </c>
      <c r="B3785" s="3" t="s">
        <v>3192</v>
      </c>
      <c r="C3785" s="3" t="s">
        <v>3440</v>
      </c>
      <c r="D3785" s="4" t="str">
        <f t="shared" si="283"/>
        <v>12Go Link</v>
      </c>
      <c r="E3785" s="3" t="s">
        <v>3197</v>
      </c>
      <c r="K3785" s="5"/>
    </row>
    <row r="3786">
      <c r="A3786" s="3" t="s">
        <v>3279</v>
      </c>
      <c r="B3786" s="3" t="s">
        <v>3192</v>
      </c>
      <c r="C3786" s="3" t="s">
        <v>3441</v>
      </c>
      <c r="D3786" s="4" t="str">
        <f t="shared" ref="D3786:D3789" si="284">HYPERLINK("https://12go.asia/en/travel/Sharm-El-Sheikh-Hotel-Transfer/Cairo-International-Airport", "12Go Link")</f>
        <v>12Go Link</v>
      </c>
      <c r="E3786" s="3" t="s">
        <v>3194</v>
      </c>
      <c r="K3786" s="5"/>
    </row>
    <row r="3787">
      <c r="A3787" s="3" t="s">
        <v>3279</v>
      </c>
      <c r="B3787" s="3" t="s">
        <v>3192</v>
      </c>
      <c r="C3787" s="3" t="s">
        <v>3441</v>
      </c>
      <c r="D3787" s="4" t="str">
        <f t="shared" si="284"/>
        <v>12Go Link</v>
      </c>
      <c r="E3787" s="3" t="s">
        <v>3195</v>
      </c>
      <c r="K3787" s="5"/>
    </row>
    <row r="3788">
      <c r="A3788" s="3" t="s">
        <v>3279</v>
      </c>
      <c r="B3788" s="3" t="s">
        <v>3192</v>
      </c>
      <c r="C3788" s="3" t="s">
        <v>3441</v>
      </c>
      <c r="D3788" s="4" t="str">
        <f t="shared" si="284"/>
        <v>12Go Link</v>
      </c>
      <c r="E3788" s="3" t="s">
        <v>3196</v>
      </c>
      <c r="K3788" s="5"/>
    </row>
    <row r="3789">
      <c r="A3789" s="3" t="s">
        <v>3279</v>
      </c>
      <c r="B3789" s="3" t="s">
        <v>3192</v>
      </c>
      <c r="C3789" s="3" t="s">
        <v>3441</v>
      </c>
      <c r="D3789" s="4" t="str">
        <f t="shared" si="284"/>
        <v>12Go Link</v>
      </c>
      <c r="E3789" s="3" t="s">
        <v>3197</v>
      </c>
      <c r="K3789" s="5"/>
    </row>
    <row r="3790">
      <c r="A3790" s="3" t="s">
        <v>3279</v>
      </c>
      <c r="B3790" s="3" t="s">
        <v>3192</v>
      </c>
      <c r="C3790" s="3" t="s">
        <v>3442</v>
      </c>
      <c r="D3790" s="4" t="str">
        <f t="shared" ref="D3790:D3792" si="285">HYPERLINK("https://12go.asia/en/travel/Sharm-El-Sheikh-Intl-Airport/Cairo-Hotel-Transfer", "12Go Link")</f>
        <v>12Go Link</v>
      </c>
      <c r="E3790" s="3" t="s">
        <v>3196</v>
      </c>
      <c r="K3790" s="5"/>
    </row>
    <row r="3791">
      <c r="A3791" s="3" t="s">
        <v>3279</v>
      </c>
      <c r="B3791" s="3" t="s">
        <v>3192</v>
      </c>
      <c r="C3791" s="3" t="s">
        <v>3442</v>
      </c>
      <c r="D3791" s="4" t="str">
        <f t="shared" si="285"/>
        <v>12Go Link</v>
      </c>
      <c r="E3791" s="3" t="s">
        <v>3203</v>
      </c>
      <c r="K3791" s="5"/>
    </row>
    <row r="3792">
      <c r="A3792" s="3" t="s">
        <v>3279</v>
      </c>
      <c r="B3792" s="3" t="s">
        <v>3192</v>
      </c>
      <c r="C3792" s="3" t="s">
        <v>3442</v>
      </c>
      <c r="D3792" s="4" t="str">
        <f t="shared" si="285"/>
        <v>12Go Link</v>
      </c>
      <c r="E3792" s="3" t="s">
        <v>228</v>
      </c>
      <c r="K3792" s="5"/>
    </row>
    <row r="3793">
      <c r="A3793" s="3" t="s">
        <v>3279</v>
      </c>
      <c r="B3793" s="3" t="s">
        <v>3295</v>
      </c>
      <c r="C3793" s="3" t="s">
        <v>3443</v>
      </c>
      <c r="D3793" s="4" t="str">
        <f t="shared" ref="D3793:D3796" si="286">HYPERLINK("https://12go.asia/en/travel/Sharm-El-Sheikh-Intl-Airport/Dahab-Hotel-Transfer", "12Go Link")</f>
        <v>12Go Link</v>
      </c>
      <c r="E3793" s="3" t="s">
        <v>3196</v>
      </c>
      <c r="K3793" s="5"/>
    </row>
    <row r="3794">
      <c r="A3794" s="3" t="s">
        <v>3279</v>
      </c>
      <c r="B3794" s="3" t="s">
        <v>3295</v>
      </c>
      <c r="C3794" s="3" t="s">
        <v>3443</v>
      </c>
      <c r="D3794" s="4" t="str">
        <f t="shared" si="286"/>
        <v>12Go Link</v>
      </c>
      <c r="E3794" s="3" t="s">
        <v>3203</v>
      </c>
      <c r="K3794" s="5"/>
    </row>
    <row r="3795">
      <c r="A3795" s="3" t="s">
        <v>3279</v>
      </c>
      <c r="B3795" s="3" t="s">
        <v>3295</v>
      </c>
      <c r="C3795" s="3" t="s">
        <v>3443</v>
      </c>
      <c r="D3795" s="4" t="str">
        <f t="shared" si="286"/>
        <v>12Go Link</v>
      </c>
      <c r="E3795" s="3" t="s">
        <v>228</v>
      </c>
      <c r="K3795" s="5"/>
    </row>
    <row r="3796">
      <c r="A3796" s="3" t="s">
        <v>3279</v>
      </c>
      <c r="B3796" s="3" t="s">
        <v>3295</v>
      </c>
      <c r="C3796" s="3" t="s">
        <v>3443</v>
      </c>
      <c r="D3796" s="4" t="str">
        <f t="shared" si="286"/>
        <v>12Go Link</v>
      </c>
      <c r="E3796" s="3" t="s">
        <v>3197</v>
      </c>
      <c r="K3796" s="5"/>
    </row>
    <row r="3797">
      <c r="A3797" s="3" t="s">
        <v>3279</v>
      </c>
      <c r="B3797" s="3" t="s">
        <v>3428</v>
      </c>
      <c r="C3797" s="3" t="s">
        <v>3444</v>
      </c>
      <c r="D3797" s="4" t="str">
        <f t="shared" ref="D3797:D3799" si="287">HYPERLINK("https://12go.asia/en/travel/Sharm-El-Sheikh-Intl-Airport/Nuweiba-Hotel-Transfer", "12Go Link")</f>
        <v>12Go Link</v>
      </c>
      <c r="E3797" s="3" t="s">
        <v>3196</v>
      </c>
      <c r="K3797" s="5"/>
    </row>
    <row r="3798">
      <c r="A3798" s="3" t="s">
        <v>3279</v>
      </c>
      <c r="B3798" s="3" t="s">
        <v>3428</v>
      </c>
      <c r="C3798" s="3" t="s">
        <v>3444</v>
      </c>
      <c r="D3798" s="4" t="str">
        <f t="shared" si="287"/>
        <v>12Go Link</v>
      </c>
      <c r="E3798" s="3" t="s">
        <v>3203</v>
      </c>
      <c r="K3798" s="5"/>
    </row>
    <row r="3799">
      <c r="A3799" s="3" t="s">
        <v>3279</v>
      </c>
      <c r="B3799" s="3" t="s">
        <v>3428</v>
      </c>
      <c r="C3799" s="3" t="s">
        <v>3444</v>
      </c>
      <c r="D3799" s="4" t="str">
        <f t="shared" si="287"/>
        <v>12Go Link</v>
      </c>
      <c r="E3799" s="3" t="s">
        <v>228</v>
      </c>
      <c r="K3799" s="5"/>
    </row>
    <row r="3800">
      <c r="A3800" s="3" t="s">
        <v>3279</v>
      </c>
      <c r="B3800" s="3" t="s">
        <v>3433</v>
      </c>
      <c r="C3800" s="3" t="s">
        <v>3445</v>
      </c>
      <c r="D3800" s="4" t="str">
        <f t="shared" ref="D3800:D3802" si="288">HYPERLINK("https://12go.asia/en/travel/Sharm-El-Sheikh-Intl-Airport/Ras-Sedr-Hotel-Transfer", "12Go Link")</f>
        <v>12Go Link</v>
      </c>
      <c r="E3800" s="3" t="s">
        <v>3196</v>
      </c>
      <c r="K3800" s="5"/>
    </row>
    <row r="3801">
      <c r="A3801" s="3" t="s">
        <v>3279</v>
      </c>
      <c r="B3801" s="3" t="s">
        <v>3433</v>
      </c>
      <c r="C3801" s="3" t="s">
        <v>3445</v>
      </c>
      <c r="D3801" s="4" t="str">
        <f t="shared" si="288"/>
        <v>12Go Link</v>
      </c>
      <c r="E3801" s="3" t="s">
        <v>3203</v>
      </c>
      <c r="K3801" s="5"/>
    </row>
    <row r="3802">
      <c r="A3802" s="3" t="s">
        <v>3279</v>
      </c>
      <c r="B3802" s="3" t="s">
        <v>3433</v>
      </c>
      <c r="C3802" s="3" t="s">
        <v>3445</v>
      </c>
      <c r="D3802" s="4" t="str">
        <f t="shared" si="288"/>
        <v>12Go Link</v>
      </c>
      <c r="E3802" s="3" t="s">
        <v>228</v>
      </c>
      <c r="K3802" s="5"/>
    </row>
    <row r="3803">
      <c r="A3803" s="3" t="s">
        <v>3279</v>
      </c>
      <c r="B3803" s="3" t="s">
        <v>3279</v>
      </c>
      <c r="C3803" s="3" t="s">
        <v>3446</v>
      </c>
      <c r="D3803" s="4" t="str">
        <f t="shared" ref="D3803:D3806" si="289">HYPERLINK("https://12go.asia/en/travel/Naama-Bay-Hotel-Transfer/Sharm-El-Sheikh-Intl-Airport", "12Go Link")</f>
        <v>12Go Link</v>
      </c>
      <c r="E3803" s="3" t="s">
        <v>3196</v>
      </c>
      <c r="K3803" s="5"/>
    </row>
    <row r="3804">
      <c r="A3804" s="3" t="s">
        <v>3279</v>
      </c>
      <c r="B3804" s="3" t="s">
        <v>3279</v>
      </c>
      <c r="C3804" s="3" t="s">
        <v>3446</v>
      </c>
      <c r="D3804" s="4" t="str">
        <f t="shared" si="289"/>
        <v>12Go Link</v>
      </c>
      <c r="E3804" s="3" t="s">
        <v>3203</v>
      </c>
      <c r="K3804" s="5"/>
    </row>
    <row r="3805">
      <c r="A3805" s="3" t="s">
        <v>3279</v>
      </c>
      <c r="B3805" s="3" t="s">
        <v>3279</v>
      </c>
      <c r="C3805" s="3" t="s">
        <v>3446</v>
      </c>
      <c r="D3805" s="4" t="str">
        <f t="shared" si="289"/>
        <v>12Go Link</v>
      </c>
      <c r="E3805" s="3" t="s">
        <v>228</v>
      </c>
      <c r="K3805" s="5"/>
    </row>
    <row r="3806">
      <c r="A3806" s="3" t="s">
        <v>3279</v>
      </c>
      <c r="B3806" s="3" t="s">
        <v>3279</v>
      </c>
      <c r="C3806" s="3" t="s">
        <v>3446</v>
      </c>
      <c r="D3806" s="4" t="str">
        <f t="shared" si="289"/>
        <v>12Go Link</v>
      </c>
      <c r="E3806" s="3" t="s">
        <v>3197</v>
      </c>
      <c r="K3806" s="5"/>
    </row>
    <row r="3807">
      <c r="A3807" s="3" t="s">
        <v>3279</v>
      </c>
      <c r="B3807" s="3" t="s">
        <v>3279</v>
      </c>
      <c r="C3807" s="3" t="s">
        <v>3447</v>
      </c>
      <c r="D3807" s="4" t="str">
        <f t="shared" ref="D3807:D3810" si="290">HYPERLINK("https://12go.asia/en/travel/Nabq-Bay-Hotel-Transfer/Sharm-El-Sheikh-Intl-Airport", "12Go Link")</f>
        <v>12Go Link</v>
      </c>
      <c r="E3807" s="3" t="s">
        <v>3196</v>
      </c>
      <c r="K3807" s="5"/>
    </row>
    <row r="3808">
      <c r="A3808" s="3" t="s">
        <v>3279</v>
      </c>
      <c r="B3808" s="3" t="s">
        <v>3279</v>
      </c>
      <c r="C3808" s="3" t="s">
        <v>3447</v>
      </c>
      <c r="D3808" s="4" t="str">
        <f t="shared" si="290"/>
        <v>12Go Link</v>
      </c>
      <c r="E3808" s="3" t="s">
        <v>3203</v>
      </c>
      <c r="K3808" s="5"/>
    </row>
    <row r="3809">
      <c r="A3809" s="3" t="s">
        <v>3279</v>
      </c>
      <c r="B3809" s="3" t="s">
        <v>3279</v>
      </c>
      <c r="C3809" s="3" t="s">
        <v>3447</v>
      </c>
      <c r="D3809" s="4" t="str">
        <f t="shared" si="290"/>
        <v>12Go Link</v>
      </c>
      <c r="E3809" s="3" t="s">
        <v>228</v>
      </c>
      <c r="K3809" s="5"/>
    </row>
    <row r="3810">
      <c r="A3810" s="3" t="s">
        <v>3279</v>
      </c>
      <c r="B3810" s="3" t="s">
        <v>3279</v>
      </c>
      <c r="C3810" s="3" t="s">
        <v>3447</v>
      </c>
      <c r="D3810" s="4" t="str">
        <f t="shared" si="290"/>
        <v>12Go Link</v>
      </c>
      <c r="E3810" s="3" t="s">
        <v>3197</v>
      </c>
      <c r="K3810" s="5"/>
    </row>
    <row r="3811">
      <c r="A3811" s="3" t="s">
        <v>3279</v>
      </c>
      <c r="B3811" s="3" t="s">
        <v>3279</v>
      </c>
      <c r="C3811" s="3" t="s">
        <v>3448</v>
      </c>
      <c r="D3811" s="4" t="str">
        <f t="shared" ref="D3811:D3814" si="291">HYPERLINK("https://12go.asia/en/travel/Om-El-Seid-Hotel-Transfer/Sharm-El-Sheikh-Intl-Airport", "12Go Link")</f>
        <v>12Go Link</v>
      </c>
      <c r="E3811" s="3" t="s">
        <v>3196</v>
      </c>
      <c r="K3811" s="5"/>
    </row>
    <row r="3812">
      <c r="A3812" s="3" t="s">
        <v>3279</v>
      </c>
      <c r="B3812" s="3" t="s">
        <v>3279</v>
      </c>
      <c r="C3812" s="3" t="s">
        <v>3448</v>
      </c>
      <c r="D3812" s="4" t="str">
        <f t="shared" si="291"/>
        <v>12Go Link</v>
      </c>
      <c r="E3812" s="3" t="s">
        <v>3203</v>
      </c>
      <c r="K3812" s="5"/>
    </row>
    <row r="3813">
      <c r="A3813" s="3" t="s">
        <v>3279</v>
      </c>
      <c r="B3813" s="3" t="s">
        <v>3279</v>
      </c>
      <c r="C3813" s="3" t="s">
        <v>3448</v>
      </c>
      <c r="D3813" s="4" t="str">
        <f t="shared" si="291"/>
        <v>12Go Link</v>
      </c>
      <c r="E3813" s="3" t="s">
        <v>228</v>
      </c>
      <c r="K3813" s="5"/>
    </row>
    <row r="3814">
      <c r="A3814" s="3" t="s">
        <v>3279</v>
      </c>
      <c r="B3814" s="3" t="s">
        <v>3279</v>
      </c>
      <c r="C3814" s="3" t="s">
        <v>3448</v>
      </c>
      <c r="D3814" s="4" t="str">
        <f t="shared" si="291"/>
        <v>12Go Link</v>
      </c>
      <c r="E3814" s="3" t="s">
        <v>3197</v>
      </c>
      <c r="K3814" s="5"/>
    </row>
    <row r="3815">
      <c r="A3815" s="3" t="s">
        <v>3279</v>
      </c>
      <c r="B3815" s="3" t="s">
        <v>3279</v>
      </c>
      <c r="C3815" s="3" t="s">
        <v>3449</v>
      </c>
      <c r="D3815" s="4" t="str">
        <f t="shared" ref="D3815:D3818" si="292">HYPERLINK("https://12go.asia/en/travel/Pasha-Bay-Hotel-Transfer/Sharm-El-Sheikh-Intl-Airport", "12Go Link")</f>
        <v>12Go Link</v>
      </c>
      <c r="E3815" s="3" t="s">
        <v>3196</v>
      </c>
      <c r="K3815" s="5"/>
    </row>
    <row r="3816">
      <c r="A3816" s="3" t="s">
        <v>3279</v>
      </c>
      <c r="B3816" s="3" t="s">
        <v>3279</v>
      </c>
      <c r="C3816" s="3" t="s">
        <v>3449</v>
      </c>
      <c r="D3816" s="4" t="str">
        <f t="shared" si="292"/>
        <v>12Go Link</v>
      </c>
      <c r="E3816" s="3" t="s">
        <v>3203</v>
      </c>
      <c r="K3816" s="5"/>
    </row>
    <row r="3817">
      <c r="A3817" s="3" t="s">
        <v>3279</v>
      </c>
      <c r="B3817" s="3" t="s">
        <v>3279</v>
      </c>
      <c r="C3817" s="3" t="s">
        <v>3449</v>
      </c>
      <c r="D3817" s="4" t="str">
        <f t="shared" si="292"/>
        <v>12Go Link</v>
      </c>
      <c r="E3817" s="3" t="s">
        <v>228</v>
      </c>
      <c r="K3817" s="5"/>
    </row>
    <row r="3818">
      <c r="A3818" s="3" t="s">
        <v>3279</v>
      </c>
      <c r="B3818" s="3" t="s">
        <v>3279</v>
      </c>
      <c r="C3818" s="3" t="s">
        <v>3449</v>
      </c>
      <c r="D3818" s="4" t="str">
        <f t="shared" si="292"/>
        <v>12Go Link</v>
      </c>
      <c r="E3818" s="3" t="s">
        <v>3197</v>
      </c>
      <c r="K3818" s="5"/>
    </row>
    <row r="3819">
      <c r="A3819" s="3" t="s">
        <v>3279</v>
      </c>
      <c r="B3819" s="3" t="s">
        <v>3279</v>
      </c>
      <c r="C3819" s="3" t="s">
        <v>3450</v>
      </c>
      <c r="D3819" s="4" t="str">
        <f t="shared" ref="D3819:D3822" si="293">HYPERLINK("https://12go.asia/en/travel/Ras-Nasrani-Beach/Sharm-El-Sheikh-Intl-Airport", "12Go Link")</f>
        <v>12Go Link</v>
      </c>
      <c r="E3819" s="3" t="s">
        <v>3196</v>
      </c>
      <c r="K3819" s="5"/>
    </row>
    <row r="3820">
      <c r="A3820" s="3" t="s">
        <v>3279</v>
      </c>
      <c r="B3820" s="3" t="s">
        <v>3279</v>
      </c>
      <c r="C3820" s="3" t="s">
        <v>3450</v>
      </c>
      <c r="D3820" s="4" t="str">
        <f t="shared" si="293"/>
        <v>12Go Link</v>
      </c>
      <c r="E3820" s="3" t="s">
        <v>3203</v>
      </c>
      <c r="K3820" s="5"/>
    </row>
    <row r="3821">
      <c r="A3821" s="3" t="s">
        <v>3279</v>
      </c>
      <c r="B3821" s="3" t="s">
        <v>3279</v>
      </c>
      <c r="C3821" s="3" t="s">
        <v>3450</v>
      </c>
      <c r="D3821" s="4" t="str">
        <f t="shared" si="293"/>
        <v>12Go Link</v>
      </c>
      <c r="E3821" s="3" t="s">
        <v>228</v>
      </c>
      <c r="K3821" s="5"/>
    </row>
    <row r="3822">
      <c r="A3822" s="3" t="s">
        <v>3279</v>
      </c>
      <c r="B3822" s="3" t="s">
        <v>3279</v>
      </c>
      <c r="C3822" s="3" t="s">
        <v>3450</v>
      </c>
      <c r="D3822" s="4" t="str">
        <f t="shared" si="293"/>
        <v>12Go Link</v>
      </c>
      <c r="E3822" s="3" t="s">
        <v>3197</v>
      </c>
      <c r="K3822" s="5"/>
    </row>
    <row r="3823">
      <c r="A3823" s="3" t="s">
        <v>3279</v>
      </c>
      <c r="B3823" s="3" t="s">
        <v>3279</v>
      </c>
      <c r="C3823" s="3" t="s">
        <v>3451</v>
      </c>
      <c r="D3823" s="4" t="str">
        <f t="shared" ref="D3823:D3826" si="294">HYPERLINK("https://12go.asia/en/travel/Ras-Um-Sid-Hotel-Transfer/Sharm-El-Sheikh-Intl-Airport", "12Go Link")</f>
        <v>12Go Link</v>
      </c>
      <c r="E3823" s="3" t="s">
        <v>3196</v>
      </c>
      <c r="K3823" s="5"/>
    </row>
    <row r="3824">
      <c r="A3824" s="3" t="s">
        <v>3279</v>
      </c>
      <c r="B3824" s="3" t="s">
        <v>3279</v>
      </c>
      <c r="C3824" s="3" t="s">
        <v>3451</v>
      </c>
      <c r="D3824" s="4" t="str">
        <f t="shared" si="294"/>
        <v>12Go Link</v>
      </c>
      <c r="E3824" s="3" t="s">
        <v>3203</v>
      </c>
      <c r="K3824" s="5"/>
    </row>
    <row r="3825">
      <c r="A3825" s="3" t="s">
        <v>3279</v>
      </c>
      <c r="B3825" s="3" t="s">
        <v>3279</v>
      </c>
      <c r="C3825" s="3" t="s">
        <v>3451</v>
      </c>
      <c r="D3825" s="4" t="str">
        <f t="shared" si="294"/>
        <v>12Go Link</v>
      </c>
      <c r="E3825" s="3" t="s">
        <v>228</v>
      </c>
      <c r="K3825" s="5"/>
    </row>
    <row r="3826">
      <c r="A3826" s="3" t="s">
        <v>3279</v>
      </c>
      <c r="B3826" s="3" t="s">
        <v>3279</v>
      </c>
      <c r="C3826" s="3" t="s">
        <v>3451</v>
      </c>
      <c r="D3826" s="4" t="str">
        <f t="shared" si="294"/>
        <v>12Go Link</v>
      </c>
      <c r="E3826" s="3" t="s">
        <v>3197</v>
      </c>
      <c r="K3826" s="5"/>
    </row>
    <row r="3827">
      <c r="A3827" s="3" t="s">
        <v>3279</v>
      </c>
      <c r="B3827" s="3" t="s">
        <v>3279</v>
      </c>
      <c r="C3827" s="3" t="s">
        <v>3452</v>
      </c>
      <c r="D3827" s="4" t="str">
        <f t="shared" ref="D3827:D3830" si="295">HYPERLINK("https://12go.asia/en/travel/Sharks-Bay-Hotel-Transfer/Sharm-El-Sheikh-Intl-Airport", "12Go Link")</f>
        <v>12Go Link</v>
      </c>
      <c r="E3827" s="3" t="s">
        <v>3196</v>
      </c>
      <c r="K3827" s="5"/>
    </row>
    <row r="3828">
      <c r="A3828" s="3" t="s">
        <v>3279</v>
      </c>
      <c r="B3828" s="3" t="s">
        <v>3279</v>
      </c>
      <c r="C3828" s="3" t="s">
        <v>3452</v>
      </c>
      <c r="D3828" s="4" t="str">
        <f t="shared" si="295"/>
        <v>12Go Link</v>
      </c>
      <c r="E3828" s="3" t="s">
        <v>3203</v>
      </c>
      <c r="K3828" s="5"/>
    </row>
    <row r="3829">
      <c r="A3829" s="3" t="s">
        <v>3279</v>
      </c>
      <c r="B3829" s="3" t="s">
        <v>3279</v>
      </c>
      <c r="C3829" s="3" t="s">
        <v>3452</v>
      </c>
      <c r="D3829" s="4" t="str">
        <f t="shared" si="295"/>
        <v>12Go Link</v>
      </c>
      <c r="E3829" s="3" t="s">
        <v>228</v>
      </c>
      <c r="K3829" s="5"/>
    </row>
    <row r="3830">
      <c r="A3830" s="3" t="s">
        <v>3279</v>
      </c>
      <c r="B3830" s="3" t="s">
        <v>3279</v>
      </c>
      <c r="C3830" s="3" t="s">
        <v>3452</v>
      </c>
      <c r="D3830" s="4" t="str">
        <f t="shared" si="295"/>
        <v>12Go Link</v>
      </c>
      <c r="E3830" s="3" t="s">
        <v>3197</v>
      </c>
      <c r="K3830" s="5"/>
    </row>
    <row r="3831">
      <c r="A3831" s="3" t="s">
        <v>3279</v>
      </c>
      <c r="B3831" s="3" t="s">
        <v>3279</v>
      </c>
      <c r="C3831" s="3" t="s">
        <v>3453</v>
      </c>
      <c r="D3831" s="4" t="str">
        <f t="shared" ref="D3831:D3834" si="296">HYPERLINK("https://12go.asia/en/travel/Sharm-El-Sheikh-Hotel-Transfer/Sharm-El-Sheikh-Intl-Airport", "12Go Link")</f>
        <v>12Go Link</v>
      </c>
      <c r="E3831" s="3" t="s">
        <v>3196</v>
      </c>
      <c r="K3831" s="5"/>
    </row>
    <row r="3832">
      <c r="A3832" s="3" t="s">
        <v>3279</v>
      </c>
      <c r="B3832" s="3" t="s">
        <v>3279</v>
      </c>
      <c r="C3832" s="3" t="s">
        <v>3453</v>
      </c>
      <c r="D3832" s="4" t="str">
        <f t="shared" si="296"/>
        <v>12Go Link</v>
      </c>
      <c r="E3832" s="3" t="s">
        <v>3203</v>
      </c>
      <c r="K3832" s="5"/>
    </row>
    <row r="3833">
      <c r="A3833" s="3" t="s">
        <v>3279</v>
      </c>
      <c r="B3833" s="3" t="s">
        <v>3279</v>
      </c>
      <c r="C3833" s="3" t="s">
        <v>3453</v>
      </c>
      <c r="D3833" s="4" t="str">
        <f t="shared" si="296"/>
        <v>12Go Link</v>
      </c>
      <c r="E3833" s="3" t="s">
        <v>228</v>
      </c>
      <c r="K3833" s="5"/>
    </row>
    <row r="3834">
      <c r="A3834" s="3" t="s">
        <v>3279</v>
      </c>
      <c r="B3834" s="3" t="s">
        <v>3279</v>
      </c>
      <c r="C3834" s="3" t="s">
        <v>3453</v>
      </c>
      <c r="D3834" s="4" t="str">
        <f t="shared" si="296"/>
        <v>12Go Link</v>
      </c>
      <c r="E3834" s="3" t="s">
        <v>3197</v>
      </c>
      <c r="K3834" s="5"/>
    </row>
    <row r="3835">
      <c r="A3835" s="3" t="s">
        <v>3279</v>
      </c>
      <c r="B3835" s="3" t="s">
        <v>3279</v>
      </c>
      <c r="C3835" s="3" t="s">
        <v>3454</v>
      </c>
      <c r="D3835" s="4" t="str">
        <f t="shared" ref="D3835:D3838" si="297">HYPERLINK("https://12go.asia/en/travel/Sharm-El-Sheikh-Intl-Airport/Naama-Bay-Hotel-Transfer", "12Go Link")</f>
        <v>12Go Link</v>
      </c>
      <c r="E3835" s="3" t="s">
        <v>3196</v>
      </c>
      <c r="K3835" s="5"/>
    </row>
    <row r="3836">
      <c r="A3836" s="3" t="s">
        <v>3279</v>
      </c>
      <c r="B3836" s="3" t="s">
        <v>3279</v>
      </c>
      <c r="C3836" s="3" t="s">
        <v>3454</v>
      </c>
      <c r="D3836" s="4" t="str">
        <f t="shared" si="297"/>
        <v>12Go Link</v>
      </c>
      <c r="E3836" s="3" t="s">
        <v>3203</v>
      </c>
      <c r="K3836" s="5"/>
    </row>
    <row r="3837">
      <c r="A3837" s="3" t="s">
        <v>3279</v>
      </c>
      <c r="B3837" s="3" t="s">
        <v>3279</v>
      </c>
      <c r="C3837" s="3" t="s">
        <v>3454</v>
      </c>
      <c r="D3837" s="4" t="str">
        <f t="shared" si="297"/>
        <v>12Go Link</v>
      </c>
      <c r="E3837" s="3" t="s">
        <v>228</v>
      </c>
      <c r="K3837" s="5"/>
    </row>
    <row r="3838">
      <c r="A3838" s="3" t="s">
        <v>3279</v>
      </c>
      <c r="B3838" s="3" t="s">
        <v>3279</v>
      </c>
      <c r="C3838" s="3" t="s">
        <v>3454</v>
      </c>
      <c r="D3838" s="4" t="str">
        <f t="shared" si="297"/>
        <v>12Go Link</v>
      </c>
      <c r="E3838" s="3" t="s">
        <v>3197</v>
      </c>
      <c r="K3838" s="5"/>
    </row>
    <row r="3839">
      <c r="A3839" s="3" t="s">
        <v>3279</v>
      </c>
      <c r="B3839" s="3" t="s">
        <v>3279</v>
      </c>
      <c r="C3839" s="3" t="s">
        <v>3455</v>
      </c>
      <c r="D3839" s="4" t="str">
        <f t="shared" ref="D3839:D3842" si="298">HYPERLINK("https://12go.asia/en/travel/Sharm-El-Sheikh-Intl-Airport/Nabq-Bay-Hotel-Transfer", "12Go Link")</f>
        <v>12Go Link</v>
      </c>
      <c r="E3839" s="3" t="s">
        <v>3196</v>
      </c>
      <c r="K3839" s="5"/>
    </row>
    <row r="3840">
      <c r="A3840" s="3" t="s">
        <v>3279</v>
      </c>
      <c r="B3840" s="3" t="s">
        <v>3279</v>
      </c>
      <c r="C3840" s="3" t="s">
        <v>3455</v>
      </c>
      <c r="D3840" s="4" t="str">
        <f t="shared" si="298"/>
        <v>12Go Link</v>
      </c>
      <c r="E3840" s="3" t="s">
        <v>3203</v>
      </c>
      <c r="K3840" s="5"/>
    </row>
    <row r="3841">
      <c r="A3841" s="3" t="s">
        <v>3279</v>
      </c>
      <c r="B3841" s="3" t="s">
        <v>3279</v>
      </c>
      <c r="C3841" s="3" t="s">
        <v>3455</v>
      </c>
      <c r="D3841" s="4" t="str">
        <f t="shared" si="298"/>
        <v>12Go Link</v>
      </c>
      <c r="E3841" s="3" t="s">
        <v>228</v>
      </c>
      <c r="K3841" s="5"/>
    </row>
    <row r="3842">
      <c r="A3842" s="3" t="s">
        <v>3279</v>
      </c>
      <c r="B3842" s="3" t="s">
        <v>3279</v>
      </c>
      <c r="C3842" s="3" t="s">
        <v>3455</v>
      </c>
      <c r="D3842" s="4" t="str">
        <f t="shared" si="298"/>
        <v>12Go Link</v>
      </c>
      <c r="E3842" s="3" t="s">
        <v>3197</v>
      </c>
      <c r="K3842" s="5"/>
    </row>
    <row r="3843">
      <c r="A3843" s="3" t="s">
        <v>3279</v>
      </c>
      <c r="B3843" s="3" t="s">
        <v>3279</v>
      </c>
      <c r="C3843" s="3" t="s">
        <v>3456</v>
      </c>
      <c r="D3843" s="4" t="str">
        <f t="shared" ref="D3843:D3846" si="299">HYPERLINK("https://12go.asia/en/travel/Sharm-El-Sheikh-Intl-Airport/Om-El-Seid-Hotel-Transfer", "12Go Link")</f>
        <v>12Go Link</v>
      </c>
      <c r="E3843" s="3" t="s">
        <v>3196</v>
      </c>
      <c r="K3843" s="5"/>
    </row>
    <row r="3844">
      <c r="A3844" s="3" t="s">
        <v>3279</v>
      </c>
      <c r="B3844" s="3" t="s">
        <v>3279</v>
      </c>
      <c r="C3844" s="3" t="s">
        <v>3456</v>
      </c>
      <c r="D3844" s="4" t="str">
        <f t="shared" si="299"/>
        <v>12Go Link</v>
      </c>
      <c r="E3844" s="3" t="s">
        <v>3203</v>
      </c>
      <c r="K3844" s="5"/>
    </row>
    <row r="3845">
      <c r="A3845" s="3" t="s">
        <v>3279</v>
      </c>
      <c r="B3845" s="3" t="s">
        <v>3279</v>
      </c>
      <c r="C3845" s="3" t="s">
        <v>3456</v>
      </c>
      <c r="D3845" s="4" t="str">
        <f t="shared" si="299"/>
        <v>12Go Link</v>
      </c>
      <c r="E3845" s="3" t="s">
        <v>228</v>
      </c>
      <c r="K3845" s="5"/>
    </row>
    <row r="3846">
      <c r="A3846" s="3" t="s">
        <v>3279</v>
      </c>
      <c r="B3846" s="3" t="s">
        <v>3279</v>
      </c>
      <c r="C3846" s="3" t="s">
        <v>3456</v>
      </c>
      <c r="D3846" s="4" t="str">
        <f t="shared" si="299"/>
        <v>12Go Link</v>
      </c>
      <c r="E3846" s="3" t="s">
        <v>3197</v>
      </c>
      <c r="K3846" s="5"/>
    </row>
    <row r="3847">
      <c r="A3847" s="3" t="s">
        <v>3279</v>
      </c>
      <c r="B3847" s="3" t="s">
        <v>3279</v>
      </c>
      <c r="C3847" s="3" t="s">
        <v>3457</v>
      </c>
      <c r="D3847" s="4" t="str">
        <f t="shared" ref="D3847:D3850" si="300">HYPERLINK("https://12go.asia/en/travel/Sharm-El-Sheikh-Intl-Airport/Pasha-Bay-Hotel-Transfer", "12Go Link")</f>
        <v>12Go Link</v>
      </c>
      <c r="E3847" s="3" t="s">
        <v>3196</v>
      </c>
      <c r="K3847" s="5"/>
    </row>
    <row r="3848">
      <c r="A3848" s="3" t="s">
        <v>3279</v>
      </c>
      <c r="B3848" s="3" t="s">
        <v>3279</v>
      </c>
      <c r="C3848" s="3" t="s">
        <v>3457</v>
      </c>
      <c r="D3848" s="4" t="str">
        <f t="shared" si="300"/>
        <v>12Go Link</v>
      </c>
      <c r="E3848" s="3" t="s">
        <v>3203</v>
      </c>
      <c r="K3848" s="5"/>
    </row>
    <row r="3849">
      <c r="A3849" s="3" t="s">
        <v>3279</v>
      </c>
      <c r="B3849" s="3" t="s">
        <v>3279</v>
      </c>
      <c r="C3849" s="3" t="s">
        <v>3457</v>
      </c>
      <c r="D3849" s="4" t="str">
        <f t="shared" si="300"/>
        <v>12Go Link</v>
      </c>
      <c r="E3849" s="3" t="s">
        <v>228</v>
      </c>
      <c r="K3849" s="5"/>
    </row>
    <row r="3850">
      <c r="A3850" s="3" t="s">
        <v>3279</v>
      </c>
      <c r="B3850" s="3" t="s">
        <v>3279</v>
      </c>
      <c r="C3850" s="3" t="s">
        <v>3457</v>
      </c>
      <c r="D3850" s="4" t="str">
        <f t="shared" si="300"/>
        <v>12Go Link</v>
      </c>
      <c r="E3850" s="3" t="s">
        <v>3197</v>
      </c>
      <c r="K3850" s="5"/>
    </row>
    <row r="3851">
      <c r="A3851" s="3" t="s">
        <v>3279</v>
      </c>
      <c r="B3851" s="3" t="s">
        <v>3279</v>
      </c>
      <c r="C3851" s="3" t="s">
        <v>3458</v>
      </c>
      <c r="D3851" s="4" t="str">
        <f t="shared" ref="D3851:D3854" si="301">HYPERLINK("https://12go.asia/en/travel/Sharm-El-Sheikh-Intl-Airport/Ras-Nasrani-Beach", "12Go Link")</f>
        <v>12Go Link</v>
      </c>
      <c r="E3851" s="3" t="s">
        <v>3196</v>
      </c>
      <c r="K3851" s="5"/>
    </row>
    <row r="3852">
      <c r="A3852" s="3" t="s">
        <v>3279</v>
      </c>
      <c r="B3852" s="3" t="s">
        <v>3279</v>
      </c>
      <c r="C3852" s="3" t="s">
        <v>3458</v>
      </c>
      <c r="D3852" s="4" t="str">
        <f t="shared" si="301"/>
        <v>12Go Link</v>
      </c>
      <c r="E3852" s="3" t="s">
        <v>3203</v>
      </c>
      <c r="K3852" s="5"/>
    </row>
    <row r="3853">
      <c r="A3853" s="3" t="s">
        <v>3279</v>
      </c>
      <c r="B3853" s="3" t="s">
        <v>3279</v>
      </c>
      <c r="C3853" s="3" t="s">
        <v>3458</v>
      </c>
      <c r="D3853" s="4" t="str">
        <f t="shared" si="301"/>
        <v>12Go Link</v>
      </c>
      <c r="E3853" s="3" t="s">
        <v>228</v>
      </c>
      <c r="K3853" s="5"/>
    </row>
    <row r="3854">
      <c r="A3854" s="3" t="s">
        <v>3279</v>
      </c>
      <c r="B3854" s="3" t="s">
        <v>3279</v>
      </c>
      <c r="C3854" s="3" t="s">
        <v>3458</v>
      </c>
      <c r="D3854" s="4" t="str">
        <f t="shared" si="301"/>
        <v>12Go Link</v>
      </c>
      <c r="E3854" s="3" t="s">
        <v>3197</v>
      </c>
      <c r="K3854" s="5"/>
    </row>
    <row r="3855">
      <c r="A3855" s="3" t="s">
        <v>3279</v>
      </c>
      <c r="B3855" s="3" t="s">
        <v>3279</v>
      </c>
      <c r="C3855" s="3" t="s">
        <v>3459</v>
      </c>
      <c r="D3855" s="4" t="str">
        <f t="shared" ref="D3855:D3858" si="302">HYPERLINK("https://12go.asia/en/travel/Sharm-El-Sheikh-Intl-Airport/Ras-Um-Sid-Hotel-Transfer", "12Go Link")</f>
        <v>12Go Link</v>
      </c>
      <c r="E3855" s="3" t="s">
        <v>3196</v>
      </c>
      <c r="K3855" s="5"/>
    </row>
    <row r="3856">
      <c r="A3856" s="3" t="s">
        <v>3279</v>
      </c>
      <c r="B3856" s="3" t="s">
        <v>3279</v>
      </c>
      <c r="C3856" s="3" t="s">
        <v>3459</v>
      </c>
      <c r="D3856" s="4" t="str">
        <f t="shared" si="302"/>
        <v>12Go Link</v>
      </c>
      <c r="E3856" s="3" t="s">
        <v>3203</v>
      </c>
      <c r="K3856" s="5"/>
    </row>
    <row r="3857">
      <c r="A3857" s="3" t="s">
        <v>3279</v>
      </c>
      <c r="B3857" s="3" t="s">
        <v>3279</v>
      </c>
      <c r="C3857" s="3" t="s">
        <v>3459</v>
      </c>
      <c r="D3857" s="4" t="str">
        <f t="shared" si="302"/>
        <v>12Go Link</v>
      </c>
      <c r="E3857" s="3" t="s">
        <v>228</v>
      </c>
      <c r="K3857" s="5"/>
    </row>
    <row r="3858">
      <c r="A3858" s="3" t="s">
        <v>3279</v>
      </c>
      <c r="B3858" s="3" t="s">
        <v>3279</v>
      </c>
      <c r="C3858" s="3" t="s">
        <v>3459</v>
      </c>
      <c r="D3858" s="4" t="str">
        <f t="shared" si="302"/>
        <v>12Go Link</v>
      </c>
      <c r="E3858" s="3" t="s">
        <v>3197</v>
      </c>
      <c r="K3858" s="5"/>
    </row>
    <row r="3859">
      <c r="A3859" s="3" t="s">
        <v>3279</v>
      </c>
      <c r="B3859" s="3" t="s">
        <v>3279</v>
      </c>
      <c r="C3859" s="3" t="s">
        <v>3460</v>
      </c>
      <c r="D3859" s="4" t="str">
        <f t="shared" ref="D3859:D3862" si="303">HYPERLINK("https://12go.asia/en/travel/Sharm-El-Sheikh-Intl-Airport/Sharks-Bay-Hotel-Transfer", "12Go Link")</f>
        <v>12Go Link</v>
      </c>
      <c r="E3859" s="3" t="s">
        <v>3196</v>
      </c>
      <c r="K3859" s="5"/>
    </row>
    <row r="3860">
      <c r="A3860" s="3" t="s">
        <v>3279</v>
      </c>
      <c r="B3860" s="3" t="s">
        <v>3279</v>
      </c>
      <c r="C3860" s="3" t="s">
        <v>3460</v>
      </c>
      <c r="D3860" s="4" t="str">
        <f t="shared" si="303"/>
        <v>12Go Link</v>
      </c>
      <c r="E3860" s="3" t="s">
        <v>3203</v>
      </c>
      <c r="K3860" s="5"/>
    </row>
    <row r="3861">
      <c r="A3861" s="3" t="s">
        <v>3279</v>
      </c>
      <c r="B3861" s="3" t="s">
        <v>3279</v>
      </c>
      <c r="C3861" s="3" t="s">
        <v>3460</v>
      </c>
      <c r="D3861" s="4" t="str">
        <f t="shared" si="303"/>
        <v>12Go Link</v>
      </c>
      <c r="E3861" s="3" t="s">
        <v>228</v>
      </c>
      <c r="K3861" s="5"/>
    </row>
    <row r="3862">
      <c r="A3862" s="3" t="s">
        <v>3279</v>
      </c>
      <c r="B3862" s="3" t="s">
        <v>3279</v>
      </c>
      <c r="C3862" s="3" t="s">
        <v>3460</v>
      </c>
      <c r="D3862" s="4" t="str">
        <f t="shared" si="303"/>
        <v>12Go Link</v>
      </c>
      <c r="E3862" s="3" t="s">
        <v>3197</v>
      </c>
      <c r="K3862" s="5"/>
    </row>
    <row r="3863">
      <c r="A3863" s="3" t="s">
        <v>3279</v>
      </c>
      <c r="B3863" s="3" t="s">
        <v>3279</v>
      </c>
      <c r="C3863" s="3" t="s">
        <v>3461</v>
      </c>
      <c r="D3863" s="4" t="str">
        <f t="shared" ref="D3863:D3866" si="304">HYPERLINK("https://12go.asia/en/travel/Sharm-El-Sheikh-Intl-Airport/Sharm-El-Sheikh-Hotel-Transfer", "12Go Link")</f>
        <v>12Go Link</v>
      </c>
      <c r="E3863" s="3" t="s">
        <v>3196</v>
      </c>
      <c r="K3863" s="5"/>
    </row>
    <row r="3864">
      <c r="A3864" s="3" t="s">
        <v>3279</v>
      </c>
      <c r="B3864" s="3" t="s">
        <v>3279</v>
      </c>
      <c r="C3864" s="3" t="s">
        <v>3461</v>
      </c>
      <c r="D3864" s="4" t="str">
        <f t="shared" si="304"/>
        <v>12Go Link</v>
      </c>
      <c r="E3864" s="3" t="s">
        <v>3203</v>
      </c>
      <c r="K3864" s="5"/>
    </row>
    <row r="3865">
      <c r="A3865" s="3" t="s">
        <v>3279</v>
      </c>
      <c r="B3865" s="3" t="s">
        <v>3279</v>
      </c>
      <c r="C3865" s="3" t="s">
        <v>3461</v>
      </c>
      <c r="D3865" s="4" t="str">
        <f t="shared" si="304"/>
        <v>12Go Link</v>
      </c>
      <c r="E3865" s="3" t="s">
        <v>228</v>
      </c>
      <c r="K3865" s="5"/>
    </row>
    <row r="3866">
      <c r="A3866" s="3" t="s">
        <v>3279</v>
      </c>
      <c r="B3866" s="3" t="s">
        <v>3279</v>
      </c>
      <c r="C3866" s="3" t="s">
        <v>3461</v>
      </c>
      <c r="D3866" s="4" t="str">
        <f t="shared" si="304"/>
        <v>12Go Link</v>
      </c>
      <c r="E3866" s="3" t="s">
        <v>3197</v>
      </c>
      <c r="K3866" s="5"/>
    </row>
    <row r="3867">
      <c r="A3867" s="3" t="s">
        <v>3279</v>
      </c>
      <c r="B3867" s="3" t="s">
        <v>3279</v>
      </c>
      <c r="C3867" s="3" t="s">
        <v>3462</v>
      </c>
      <c r="D3867" s="4" t="str">
        <f t="shared" ref="D3867:D3870" si="305">HYPERLINK("https://12go.asia/en/travel/Sharm-El-Sheikh-Intl-Airport/Sharm-El-Sheikh-Port", "12Go Link")</f>
        <v>12Go Link</v>
      </c>
      <c r="E3867" s="3" t="s">
        <v>3196</v>
      </c>
      <c r="K3867" s="5"/>
    </row>
    <row r="3868">
      <c r="A3868" s="3" t="s">
        <v>3279</v>
      </c>
      <c r="B3868" s="3" t="s">
        <v>3279</v>
      </c>
      <c r="C3868" s="3" t="s">
        <v>3462</v>
      </c>
      <c r="D3868" s="4" t="str">
        <f t="shared" si="305"/>
        <v>12Go Link</v>
      </c>
      <c r="E3868" s="3" t="s">
        <v>3203</v>
      </c>
      <c r="K3868" s="5"/>
    </row>
    <row r="3869">
      <c r="A3869" s="3" t="s">
        <v>3279</v>
      </c>
      <c r="B3869" s="3" t="s">
        <v>3279</v>
      </c>
      <c r="C3869" s="3" t="s">
        <v>3462</v>
      </c>
      <c r="D3869" s="4" t="str">
        <f t="shared" si="305"/>
        <v>12Go Link</v>
      </c>
      <c r="E3869" s="3" t="s">
        <v>228</v>
      </c>
      <c r="K3869" s="5"/>
    </row>
    <row r="3870">
      <c r="A3870" s="3" t="s">
        <v>3279</v>
      </c>
      <c r="B3870" s="3" t="s">
        <v>3279</v>
      </c>
      <c r="C3870" s="3" t="s">
        <v>3462</v>
      </c>
      <c r="D3870" s="4" t="str">
        <f t="shared" si="305"/>
        <v>12Go Link</v>
      </c>
      <c r="E3870" s="3" t="s">
        <v>3197</v>
      </c>
      <c r="K3870" s="5"/>
    </row>
    <row r="3871">
      <c r="A3871" s="3" t="s">
        <v>3279</v>
      </c>
      <c r="B3871" s="3" t="s">
        <v>3279</v>
      </c>
      <c r="C3871" s="3" t="s">
        <v>3463</v>
      </c>
      <c r="D3871" s="4" t="str">
        <f t="shared" ref="D3871:D3874" si="306">HYPERLINK("https://12go.asia/en/travel/Sharm-El-Sheikh-Port/Sharm-El-Sheikh-Intl-Airport", "12Go Link")</f>
        <v>12Go Link</v>
      </c>
      <c r="E3871" s="3" t="s">
        <v>3196</v>
      </c>
      <c r="K3871" s="5"/>
    </row>
    <row r="3872">
      <c r="A3872" s="3" t="s">
        <v>3279</v>
      </c>
      <c r="B3872" s="3" t="s">
        <v>3279</v>
      </c>
      <c r="C3872" s="3" t="s">
        <v>3463</v>
      </c>
      <c r="D3872" s="4" t="str">
        <f t="shared" si="306"/>
        <v>12Go Link</v>
      </c>
      <c r="E3872" s="3" t="s">
        <v>3203</v>
      </c>
      <c r="K3872" s="5"/>
    </row>
    <row r="3873">
      <c r="A3873" s="3" t="s">
        <v>3279</v>
      </c>
      <c r="B3873" s="3" t="s">
        <v>3279</v>
      </c>
      <c r="C3873" s="3" t="s">
        <v>3463</v>
      </c>
      <c r="D3873" s="4" t="str">
        <f t="shared" si="306"/>
        <v>12Go Link</v>
      </c>
      <c r="E3873" s="3" t="s">
        <v>228</v>
      </c>
      <c r="K3873" s="5"/>
    </row>
    <row r="3874">
      <c r="A3874" s="3" t="s">
        <v>3279</v>
      </c>
      <c r="B3874" s="3" t="s">
        <v>3279</v>
      </c>
      <c r="C3874" s="3" t="s">
        <v>3463</v>
      </c>
      <c r="D3874" s="4" t="str">
        <f t="shared" si="306"/>
        <v>12Go Link</v>
      </c>
      <c r="E3874" s="3" t="s">
        <v>3197</v>
      </c>
      <c r="K3874" s="5"/>
    </row>
    <row r="3875">
      <c r="A3875" s="3" t="s">
        <v>3279</v>
      </c>
      <c r="B3875" s="3" t="s">
        <v>3286</v>
      </c>
      <c r="C3875" s="3" t="s">
        <v>3464</v>
      </c>
      <c r="D3875" s="4" t="str">
        <f t="shared" ref="D3875:D3878" si="307">HYPERLINK("https://12go.asia/en/travel/Sharm-El-Sheikh-Intl-Airport/St-Catherine-Hotel-Transfer", "12Go Link")</f>
        <v>12Go Link</v>
      </c>
      <c r="E3875" s="3" t="s">
        <v>3196</v>
      </c>
      <c r="K3875" s="5"/>
    </row>
    <row r="3876">
      <c r="A3876" s="3" t="s">
        <v>3279</v>
      </c>
      <c r="B3876" s="3" t="s">
        <v>3286</v>
      </c>
      <c r="C3876" s="3" t="s">
        <v>3464</v>
      </c>
      <c r="D3876" s="4" t="str">
        <f t="shared" si="307"/>
        <v>12Go Link</v>
      </c>
      <c r="E3876" s="3" t="s">
        <v>3203</v>
      </c>
      <c r="K3876" s="5"/>
    </row>
    <row r="3877">
      <c r="A3877" s="3" t="s">
        <v>3279</v>
      </c>
      <c r="B3877" s="3" t="s">
        <v>3286</v>
      </c>
      <c r="C3877" s="3" t="s">
        <v>3464</v>
      </c>
      <c r="D3877" s="4" t="str">
        <f t="shared" si="307"/>
        <v>12Go Link</v>
      </c>
      <c r="E3877" s="3" t="s">
        <v>228</v>
      </c>
      <c r="K3877" s="5"/>
    </row>
    <row r="3878">
      <c r="A3878" s="3" t="s">
        <v>3279</v>
      </c>
      <c r="B3878" s="3" t="s">
        <v>3286</v>
      </c>
      <c r="C3878" s="3" t="s">
        <v>3464</v>
      </c>
      <c r="D3878" s="4" t="str">
        <f t="shared" si="307"/>
        <v>12Go Link</v>
      </c>
      <c r="E3878" s="3" t="s">
        <v>3197</v>
      </c>
      <c r="K3878" s="5"/>
    </row>
    <row r="3879">
      <c r="A3879" s="3" t="s">
        <v>3279</v>
      </c>
      <c r="B3879" s="3" t="s">
        <v>3292</v>
      </c>
      <c r="C3879" s="3" t="s">
        <v>3465</v>
      </c>
      <c r="D3879" s="4" t="str">
        <f t="shared" ref="D3879:D3882" si="308">HYPERLINK("https://12go.asia/en/travel/Sharm-El-Sheikh-Intl-Airport/Taba-Hotel-Transfer", "12Go Link")</f>
        <v>12Go Link</v>
      </c>
      <c r="E3879" s="3" t="s">
        <v>3196</v>
      </c>
      <c r="K3879" s="5"/>
    </row>
    <row r="3880">
      <c r="A3880" s="3" t="s">
        <v>3279</v>
      </c>
      <c r="B3880" s="3" t="s">
        <v>3292</v>
      </c>
      <c r="C3880" s="3" t="s">
        <v>3465</v>
      </c>
      <c r="D3880" s="4" t="str">
        <f t="shared" si="308"/>
        <v>12Go Link</v>
      </c>
      <c r="E3880" s="3" t="s">
        <v>3203</v>
      </c>
      <c r="K3880" s="5"/>
    </row>
    <row r="3881">
      <c r="A3881" s="3" t="s">
        <v>3279</v>
      </c>
      <c r="B3881" s="3" t="s">
        <v>3292</v>
      </c>
      <c r="C3881" s="3" t="s">
        <v>3465</v>
      </c>
      <c r="D3881" s="4" t="str">
        <f t="shared" si="308"/>
        <v>12Go Link</v>
      </c>
      <c r="E3881" s="3" t="s">
        <v>228</v>
      </c>
      <c r="K3881" s="5"/>
    </row>
    <row r="3882">
      <c r="A3882" s="3" t="s">
        <v>3279</v>
      </c>
      <c r="B3882" s="3" t="s">
        <v>3292</v>
      </c>
      <c r="C3882" s="3" t="s">
        <v>3465</v>
      </c>
      <c r="D3882" s="4" t="str">
        <f t="shared" si="308"/>
        <v>12Go Link</v>
      </c>
      <c r="E3882" s="3" t="s">
        <v>3197</v>
      </c>
      <c r="K3882" s="5"/>
    </row>
    <row r="3883">
      <c r="A3883" s="3" t="s">
        <v>3283</v>
      </c>
      <c r="B3883" s="3" t="s">
        <v>3192</v>
      </c>
      <c r="C3883" s="3" t="s">
        <v>3466</v>
      </c>
      <c r="D3883" s="4" t="str">
        <f t="shared" ref="D3883:D3886" si="309">HYPERLINK("https://12go.asia/en/travel/Siwa-Hotel-Transfer/Cairo-Hotel-Transfer", "12Go Link")</f>
        <v>12Go Link</v>
      </c>
      <c r="E3883" s="3" t="s">
        <v>3194</v>
      </c>
      <c r="K3883" s="5"/>
    </row>
    <row r="3884">
      <c r="A3884" s="3" t="s">
        <v>3283</v>
      </c>
      <c r="B3884" s="3" t="s">
        <v>3192</v>
      </c>
      <c r="C3884" s="3" t="s">
        <v>3466</v>
      </c>
      <c r="D3884" s="4" t="str">
        <f t="shared" si="309"/>
        <v>12Go Link</v>
      </c>
      <c r="E3884" s="3" t="s">
        <v>3195</v>
      </c>
      <c r="K3884" s="5"/>
    </row>
    <row r="3885">
      <c r="A3885" s="3" t="s">
        <v>3283</v>
      </c>
      <c r="B3885" s="3" t="s">
        <v>3192</v>
      </c>
      <c r="C3885" s="3" t="s">
        <v>3466</v>
      </c>
      <c r="D3885" s="4" t="str">
        <f t="shared" si="309"/>
        <v>12Go Link</v>
      </c>
      <c r="E3885" s="3" t="s">
        <v>3196</v>
      </c>
      <c r="K3885" s="5"/>
    </row>
    <row r="3886">
      <c r="A3886" s="3" t="s">
        <v>3283</v>
      </c>
      <c r="B3886" s="3" t="s">
        <v>3192</v>
      </c>
      <c r="C3886" s="3" t="s">
        <v>3466</v>
      </c>
      <c r="D3886" s="4" t="str">
        <f t="shared" si="309"/>
        <v>12Go Link</v>
      </c>
      <c r="E3886" s="3" t="s">
        <v>3197</v>
      </c>
      <c r="K3886" s="5"/>
    </row>
    <row r="3887">
      <c r="A3887" s="3" t="s">
        <v>3283</v>
      </c>
      <c r="B3887" s="3" t="s">
        <v>3192</v>
      </c>
      <c r="C3887" s="3" t="s">
        <v>3467</v>
      </c>
      <c r="D3887" s="4" t="str">
        <f t="shared" ref="D3887:D3890" si="310">HYPERLINK("https://12go.asia/en/travel/Siwa-Hotel-Transfer/Cairo-International-Airport", "12Go Link")</f>
        <v>12Go Link</v>
      </c>
      <c r="E3887" s="3" t="s">
        <v>3194</v>
      </c>
      <c r="K3887" s="5"/>
    </row>
    <row r="3888">
      <c r="A3888" s="3" t="s">
        <v>3283</v>
      </c>
      <c r="B3888" s="3" t="s">
        <v>3192</v>
      </c>
      <c r="C3888" s="3" t="s">
        <v>3467</v>
      </c>
      <c r="D3888" s="4" t="str">
        <f t="shared" si="310"/>
        <v>12Go Link</v>
      </c>
      <c r="E3888" s="3" t="s">
        <v>3195</v>
      </c>
      <c r="K3888" s="5"/>
    </row>
    <row r="3889">
      <c r="A3889" s="3" t="s">
        <v>3283</v>
      </c>
      <c r="B3889" s="3" t="s">
        <v>3192</v>
      </c>
      <c r="C3889" s="3" t="s">
        <v>3467</v>
      </c>
      <c r="D3889" s="4" t="str">
        <f t="shared" si="310"/>
        <v>12Go Link</v>
      </c>
      <c r="E3889" s="3" t="s">
        <v>3196</v>
      </c>
      <c r="K3889" s="5"/>
    </row>
    <row r="3890">
      <c r="A3890" s="3" t="s">
        <v>3283</v>
      </c>
      <c r="B3890" s="3" t="s">
        <v>3192</v>
      </c>
      <c r="C3890" s="3" t="s">
        <v>3467</v>
      </c>
      <c r="D3890" s="4" t="str">
        <f t="shared" si="310"/>
        <v>12Go Link</v>
      </c>
      <c r="E3890" s="3" t="s">
        <v>3197</v>
      </c>
      <c r="K3890" s="5"/>
    </row>
    <row r="3891">
      <c r="A3891" s="3" t="s">
        <v>3286</v>
      </c>
      <c r="B3891" s="3" t="s">
        <v>3192</v>
      </c>
      <c r="C3891" s="3" t="s">
        <v>3468</v>
      </c>
      <c r="D3891" s="4" t="str">
        <f t="shared" ref="D3891:D3894" si="311">HYPERLINK("https://12go.asia/en/travel/St-Catherine-Hotel-Transfer/Cairo-Hotel-Transfer", "12Go Link")</f>
        <v>12Go Link</v>
      </c>
      <c r="E3891" s="3" t="s">
        <v>3194</v>
      </c>
      <c r="K3891" s="5"/>
    </row>
    <row r="3892">
      <c r="A3892" s="3" t="s">
        <v>3286</v>
      </c>
      <c r="B3892" s="3" t="s">
        <v>3192</v>
      </c>
      <c r="C3892" s="3" t="s">
        <v>3468</v>
      </c>
      <c r="D3892" s="4" t="str">
        <f t="shared" si="311"/>
        <v>12Go Link</v>
      </c>
      <c r="E3892" s="3" t="s">
        <v>3195</v>
      </c>
      <c r="K3892" s="5"/>
    </row>
    <row r="3893">
      <c r="A3893" s="3" t="s">
        <v>3286</v>
      </c>
      <c r="B3893" s="3" t="s">
        <v>3192</v>
      </c>
      <c r="C3893" s="3" t="s">
        <v>3468</v>
      </c>
      <c r="D3893" s="4" t="str">
        <f t="shared" si="311"/>
        <v>12Go Link</v>
      </c>
      <c r="E3893" s="3" t="s">
        <v>3196</v>
      </c>
      <c r="K3893" s="5"/>
    </row>
    <row r="3894">
      <c r="A3894" s="3" t="s">
        <v>3286</v>
      </c>
      <c r="B3894" s="3" t="s">
        <v>3192</v>
      </c>
      <c r="C3894" s="3" t="s">
        <v>3468</v>
      </c>
      <c r="D3894" s="4" t="str">
        <f t="shared" si="311"/>
        <v>12Go Link</v>
      </c>
      <c r="E3894" s="3" t="s">
        <v>3197</v>
      </c>
      <c r="K3894" s="5"/>
    </row>
    <row r="3895">
      <c r="A3895" s="3" t="s">
        <v>3286</v>
      </c>
      <c r="B3895" s="3" t="s">
        <v>3192</v>
      </c>
      <c r="C3895" s="3" t="s">
        <v>3469</v>
      </c>
      <c r="D3895" s="4" t="str">
        <f t="shared" ref="D3895:D3898" si="312">HYPERLINK("https://12go.asia/en/travel/St-Catherine-Hotel-Transfer/Cairo-International-Airport", "12Go Link")</f>
        <v>12Go Link</v>
      </c>
      <c r="E3895" s="3" t="s">
        <v>3194</v>
      </c>
      <c r="K3895" s="5"/>
    </row>
    <row r="3896">
      <c r="A3896" s="3" t="s">
        <v>3286</v>
      </c>
      <c r="B3896" s="3" t="s">
        <v>3192</v>
      </c>
      <c r="C3896" s="3" t="s">
        <v>3469</v>
      </c>
      <c r="D3896" s="4" t="str">
        <f t="shared" si="312"/>
        <v>12Go Link</v>
      </c>
      <c r="E3896" s="3" t="s">
        <v>3195</v>
      </c>
      <c r="K3896" s="5"/>
    </row>
    <row r="3897">
      <c r="A3897" s="3" t="s">
        <v>3286</v>
      </c>
      <c r="B3897" s="3" t="s">
        <v>3192</v>
      </c>
      <c r="C3897" s="3" t="s">
        <v>3469</v>
      </c>
      <c r="D3897" s="4" t="str">
        <f t="shared" si="312"/>
        <v>12Go Link</v>
      </c>
      <c r="E3897" s="3" t="s">
        <v>3196</v>
      </c>
      <c r="K3897" s="5"/>
    </row>
    <row r="3898">
      <c r="A3898" s="3" t="s">
        <v>3286</v>
      </c>
      <c r="B3898" s="3" t="s">
        <v>3192</v>
      </c>
      <c r="C3898" s="3" t="s">
        <v>3469</v>
      </c>
      <c r="D3898" s="4" t="str">
        <f t="shared" si="312"/>
        <v>12Go Link</v>
      </c>
      <c r="E3898" s="3" t="s">
        <v>3197</v>
      </c>
      <c r="K3898" s="5"/>
    </row>
    <row r="3899">
      <c r="A3899" s="3" t="s">
        <v>3286</v>
      </c>
      <c r="B3899" s="3" t="s">
        <v>3279</v>
      </c>
      <c r="C3899" s="3" t="s">
        <v>3470</v>
      </c>
      <c r="D3899" s="4" t="str">
        <f t="shared" ref="D3899:D3902" si="313">HYPERLINK("https://12go.asia/en/travel/St-Catherine-Hotel-Transfer/Sharm-El-Sheikh-Intl-Airport", "12Go Link")</f>
        <v>12Go Link</v>
      </c>
      <c r="E3899" s="3" t="s">
        <v>3196</v>
      </c>
      <c r="K3899" s="5"/>
    </row>
    <row r="3900">
      <c r="A3900" s="3" t="s">
        <v>3286</v>
      </c>
      <c r="B3900" s="3" t="s">
        <v>3279</v>
      </c>
      <c r="C3900" s="3" t="s">
        <v>3470</v>
      </c>
      <c r="D3900" s="4" t="str">
        <f t="shared" si="313"/>
        <v>12Go Link</v>
      </c>
      <c r="E3900" s="3" t="s">
        <v>3203</v>
      </c>
      <c r="K3900" s="5"/>
    </row>
    <row r="3901">
      <c r="A3901" s="3" t="s">
        <v>3286</v>
      </c>
      <c r="B3901" s="3" t="s">
        <v>3279</v>
      </c>
      <c r="C3901" s="3" t="s">
        <v>3470</v>
      </c>
      <c r="D3901" s="4" t="str">
        <f t="shared" si="313"/>
        <v>12Go Link</v>
      </c>
      <c r="E3901" s="3" t="s">
        <v>228</v>
      </c>
      <c r="K3901" s="5"/>
    </row>
    <row r="3902">
      <c r="A3902" s="3" t="s">
        <v>3286</v>
      </c>
      <c r="B3902" s="3" t="s">
        <v>3279</v>
      </c>
      <c r="C3902" s="3" t="s">
        <v>3470</v>
      </c>
      <c r="D3902" s="4" t="str">
        <f t="shared" si="313"/>
        <v>12Go Link</v>
      </c>
      <c r="E3902" s="3" t="s">
        <v>3197</v>
      </c>
      <c r="K3902" s="5"/>
    </row>
    <row r="3903">
      <c r="A3903" s="3" t="s">
        <v>3289</v>
      </c>
      <c r="B3903" s="3" t="s">
        <v>3192</v>
      </c>
      <c r="C3903" s="3" t="s">
        <v>3471</v>
      </c>
      <c r="D3903" s="4" t="str">
        <f t="shared" ref="D3903:D3906" si="314">HYPERLINK("https://12go.asia/en/travel/Suez-Hotel-Transfer/Cairo-Hotel-Transfer", "12Go Link")</f>
        <v>12Go Link</v>
      </c>
      <c r="E3903" s="3" t="s">
        <v>3194</v>
      </c>
      <c r="K3903" s="5"/>
    </row>
    <row r="3904">
      <c r="A3904" s="3" t="s">
        <v>3289</v>
      </c>
      <c r="B3904" s="3" t="s">
        <v>3192</v>
      </c>
      <c r="C3904" s="3" t="s">
        <v>3471</v>
      </c>
      <c r="D3904" s="4" t="str">
        <f t="shared" si="314"/>
        <v>12Go Link</v>
      </c>
      <c r="E3904" s="3" t="s">
        <v>3195</v>
      </c>
      <c r="K3904" s="5"/>
    </row>
    <row r="3905">
      <c r="A3905" s="3" t="s">
        <v>3289</v>
      </c>
      <c r="B3905" s="3" t="s">
        <v>3192</v>
      </c>
      <c r="C3905" s="3" t="s">
        <v>3471</v>
      </c>
      <c r="D3905" s="4" t="str">
        <f t="shared" si="314"/>
        <v>12Go Link</v>
      </c>
      <c r="E3905" s="3" t="s">
        <v>3196</v>
      </c>
      <c r="K3905" s="5"/>
    </row>
    <row r="3906">
      <c r="A3906" s="3" t="s">
        <v>3289</v>
      </c>
      <c r="B3906" s="3" t="s">
        <v>3192</v>
      </c>
      <c r="C3906" s="3" t="s">
        <v>3471</v>
      </c>
      <c r="D3906" s="4" t="str">
        <f t="shared" si="314"/>
        <v>12Go Link</v>
      </c>
      <c r="E3906" s="3" t="s">
        <v>3197</v>
      </c>
      <c r="K3906" s="5"/>
    </row>
    <row r="3907">
      <c r="A3907" s="3" t="s">
        <v>3289</v>
      </c>
      <c r="B3907" s="3" t="s">
        <v>3192</v>
      </c>
      <c r="C3907" s="3" t="s">
        <v>3472</v>
      </c>
      <c r="D3907" s="4" t="str">
        <f t="shared" ref="D3907:D3910" si="315">HYPERLINK("https://12go.asia/en/travel/Suez-Hotel-Transfer/Cairo-International-Airport", "12Go Link")</f>
        <v>12Go Link</v>
      </c>
      <c r="E3907" s="3" t="s">
        <v>3194</v>
      </c>
      <c r="K3907" s="5"/>
    </row>
    <row r="3908">
      <c r="A3908" s="3" t="s">
        <v>3289</v>
      </c>
      <c r="B3908" s="3" t="s">
        <v>3192</v>
      </c>
      <c r="C3908" s="3" t="s">
        <v>3472</v>
      </c>
      <c r="D3908" s="4" t="str">
        <f t="shared" si="315"/>
        <v>12Go Link</v>
      </c>
      <c r="E3908" s="3" t="s">
        <v>3195</v>
      </c>
      <c r="K3908" s="5"/>
    </row>
    <row r="3909">
      <c r="A3909" s="3" t="s">
        <v>3289</v>
      </c>
      <c r="B3909" s="3" t="s">
        <v>3192</v>
      </c>
      <c r="C3909" s="3" t="s">
        <v>3472</v>
      </c>
      <c r="D3909" s="4" t="str">
        <f t="shared" si="315"/>
        <v>12Go Link</v>
      </c>
      <c r="E3909" s="3" t="s">
        <v>3196</v>
      </c>
      <c r="K3909" s="5"/>
    </row>
    <row r="3910">
      <c r="A3910" s="3" t="s">
        <v>3289</v>
      </c>
      <c r="B3910" s="3" t="s">
        <v>3192</v>
      </c>
      <c r="C3910" s="3" t="s">
        <v>3472</v>
      </c>
      <c r="D3910" s="4" t="str">
        <f t="shared" si="315"/>
        <v>12Go Link</v>
      </c>
      <c r="E3910" s="3" t="s">
        <v>3197</v>
      </c>
      <c r="K3910" s="5"/>
    </row>
    <row r="3911">
      <c r="A3911" s="3" t="s">
        <v>3292</v>
      </c>
      <c r="B3911" s="3" t="s">
        <v>3192</v>
      </c>
      <c r="C3911" s="3" t="s">
        <v>3473</v>
      </c>
      <c r="D3911" s="4" t="str">
        <f t="shared" ref="D3911:D3914" si="316">HYPERLINK("https://12go.asia/en/travel/Taba-Hotel-Transfer/Cairo-Hotel-Transfer", "12Go Link")</f>
        <v>12Go Link</v>
      </c>
      <c r="E3911" s="3" t="s">
        <v>3194</v>
      </c>
      <c r="K3911" s="5"/>
    </row>
    <row r="3912">
      <c r="A3912" s="3" t="s">
        <v>3292</v>
      </c>
      <c r="B3912" s="3" t="s">
        <v>3192</v>
      </c>
      <c r="C3912" s="3" t="s">
        <v>3473</v>
      </c>
      <c r="D3912" s="4" t="str">
        <f t="shared" si="316"/>
        <v>12Go Link</v>
      </c>
      <c r="E3912" s="3" t="s">
        <v>3195</v>
      </c>
      <c r="K3912" s="5"/>
    </row>
    <row r="3913">
      <c r="A3913" s="3" t="s">
        <v>3292</v>
      </c>
      <c r="B3913" s="3" t="s">
        <v>3192</v>
      </c>
      <c r="C3913" s="3" t="s">
        <v>3473</v>
      </c>
      <c r="D3913" s="4" t="str">
        <f t="shared" si="316"/>
        <v>12Go Link</v>
      </c>
      <c r="E3913" s="3" t="s">
        <v>3196</v>
      </c>
      <c r="K3913" s="5"/>
    </row>
    <row r="3914">
      <c r="A3914" s="3" t="s">
        <v>3292</v>
      </c>
      <c r="B3914" s="3" t="s">
        <v>3192</v>
      </c>
      <c r="C3914" s="3" t="s">
        <v>3473</v>
      </c>
      <c r="D3914" s="4" t="str">
        <f t="shared" si="316"/>
        <v>12Go Link</v>
      </c>
      <c r="E3914" s="3" t="s">
        <v>3197</v>
      </c>
      <c r="K3914" s="5"/>
    </row>
    <row r="3915">
      <c r="A3915" s="3" t="s">
        <v>3292</v>
      </c>
      <c r="B3915" s="3" t="s">
        <v>3192</v>
      </c>
      <c r="C3915" s="3" t="s">
        <v>3474</v>
      </c>
      <c r="D3915" s="4" t="str">
        <f t="shared" ref="D3915:D3918" si="317">HYPERLINK("https://12go.asia/en/travel/Taba-Hotel-Transfer/Cairo-International-Airport", "12Go Link")</f>
        <v>12Go Link</v>
      </c>
      <c r="E3915" s="3" t="s">
        <v>3194</v>
      </c>
      <c r="K3915" s="5"/>
    </row>
    <row r="3916">
      <c r="A3916" s="3" t="s">
        <v>3292</v>
      </c>
      <c r="B3916" s="3" t="s">
        <v>3192</v>
      </c>
      <c r="C3916" s="3" t="s">
        <v>3474</v>
      </c>
      <c r="D3916" s="4" t="str">
        <f t="shared" si="317"/>
        <v>12Go Link</v>
      </c>
      <c r="E3916" s="3" t="s">
        <v>3195</v>
      </c>
      <c r="K3916" s="5"/>
    </row>
    <row r="3917">
      <c r="A3917" s="3" t="s">
        <v>3292</v>
      </c>
      <c r="B3917" s="3" t="s">
        <v>3192</v>
      </c>
      <c r="C3917" s="3" t="s">
        <v>3474</v>
      </c>
      <c r="D3917" s="4" t="str">
        <f t="shared" si="317"/>
        <v>12Go Link</v>
      </c>
      <c r="E3917" s="3" t="s">
        <v>3196</v>
      </c>
      <c r="K3917" s="5"/>
    </row>
    <row r="3918">
      <c r="A3918" s="3" t="s">
        <v>3292</v>
      </c>
      <c r="B3918" s="3" t="s">
        <v>3192</v>
      </c>
      <c r="C3918" s="3" t="s">
        <v>3474</v>
      </c>
      <c r="D3918" s="4" t="str">
        <f t="shared" si="317"/>
        <v>12Go Link</v>
      </c>
      <c r="E3918" s="3" t="s">
        <v>3197</v>
      </c>
      <c r="K3918" s="5"/>
    </row>
    <row r="3919">
      <c r="A3919" s="3" t="s">
        <v>3292</v>
      </c>
      <c r="B3919" s="3" t="s">
        <v>3219</v>
      </c>
      <c r="C3919" s="3" t="s">
        <v>3475</v>
      </c>
      <c r="D3919" s="4" t="str">
        <f t="shared" ref="D3919:D3922" si="318">HYPERLINK("https://12go.asia/en/travel/Taba-Hotel-Transfer/Luxor-International-Airport", "12Go Link")</f>
        <v>12Go Link</v>
      </c>
      <c r="E3919" s="3" t="s">
        <v>3196</v>
      </c>
      <c r="K3919" s="5"/>
    </row>
    <row r="3920">
      <c r="A3920" s="3" t="s">
        <v>3292</v>
      </c>
      <c r="B3920" s="3" t="s">
        <v>3219</v>
      </c>
      <c r="C3920" s="3" t="s">
        <v>3475</v>
      </c>
      <c r="D3920" s="4" t="str">
        <f t="shared" si="318"/>
        <v>12Go Link</v>
      </c>
      <c r="E3920" s="3" t="s">
        <v>3203</v>
      </c>
      <c r="K3920" s="5"/>
    </row>
    <row r="3921">
      <c r="A3921" s="3" t="s">
        <v>3292</v>
      </c>
      <c r="B3921" s="3" t="s">
        <v>3219</v>
      </c>
      <c r="C3921" s="3" t="s">
        <v>3475</v>
      </c>
      <c r="D3921" s="4" t="str">
        <f t="shared" si="318"/>
        <v>12Go Link</v>
      </c>
      <c r="E3921" s="3" t="s">
        <v>228</v>
      </c>
      <c r="K3921" s="5"/>
    </row>
    <row r="3922">
      <c r="A3922" s="3" t="s">
        <v>3292</v>
      </c>
      <c r="B3922" s="3" t="s">
        <v>3219</v>
      </c>
      <c r="C3922" s="3" t="s">
        <v>3475</v>
      </c>
      <c r="D3922" s="4" t="str">
        <f t="shared" si="318"/>
        <v>12Go Link</v>
      </c>
      <c r="E3922" s="3" t="s">
        <v>3197</v>
      </c>
      <c r="K3922" s="5"/>
    </row>
    <row r="3923">
      <c r="A3923" s="3" t="s">
        <v>3292</v>
      </c>
      <c r="B3923" s="3" t="s">
        <v>3279</v>
      </c>
      <c r="C3923" s="3" t="s">
        <v>3476</v>
      </c>
      <c r="D3923" s="4" t="str">
        <f t="shared" ref="D3923:D3926" si="319">HYPERLINK("https://12go.asia/en/travel/Taba-Hotel-Transfer/Sharm-El-Sheikh-Intl-Airport", "12Go Link")</f>
        <v>12Go Link</v>
      </c>
      <c r="E3923" s="3" t="s">
        <v>3196</v>
      </c>
      <c r="K3923" s="5"/>
    </row>
    <row r="3924">
      <c r="A3924" s="3" t="s">
        <v>3292</v>
      </c>
      <c r="B3924" s="3" t="s">
        <v>3279</v>
      </c>
      <c r="C3924" s="3" t="s">
        <v>3476</v>
      </c>
      <c r="D3924" s="4" t="str">
        <f t="shared" si="319"/>
        <v>12Go Link</v>
      </c>
      <c r="E3924" s="3" t="s">
        <v>3203</v>
      </c>
      <c r="K3924" s="5"/>
    </row>
    <row r="3925">
      <c r="A3925" s="3" t="s">
        <v>3292</v>
      </c>
      <c r="B3925" s="3" t="s">
        <v>3279</v>
      </c>
      <c r="C3925" s="3" t="s">
        <v>3476</v>
      </c>
      <c r="D3925" s="4" t="str">
        <f t="shared" si="319"/>
        <v>12Go Link</v>
      </c>
      <c r="E3925" s="3" t="s">
        <v>228</v>
      </c>
      <c r="K3925" s="5"/>
    </row>
    <row r="3926">
      <c r="A3926" s="3" t="s">
        <v>3292</v>
      </c>
      <c r="B3926" s="3" t="s">
        <v>3279</v>
      </c>
      <c r="C3926" s="3" t="s">
        <v>3476</v>
      </c>
      <c r="D3926" s="4" t="str">
        <f t="shared" si="319"/>
        <v>12Go Link</v>
      </c>
      <c r="E3926" s="3" t="s">
        <v>3197</v>
      </c>
      <c r="K3926" s="5"/>
    </row>
    <row r="3927">
      <c r="A3927" s="3" t="s">
        <v>3426</v>
      </c>
      <c r="B3927" s="3" t="s">
        <v>3425</v>
      </c>
      <c r="C3927" s="3" t="s">
        <v>3477</v>
      </c>
      <c r="D3927" s="4" t="str">
        <f t="shared" ref="D3927:D3929" si="320">HYPERLINK("https://12go.asia/en/travel/Tanta-Hotel-Transfer/Marsa-Matruh-Hotel-Transfer", "12Go Link")</f>
        <v>12Go Link</v>
      </c>
      <c r="E3927" s="3" t="s">
        <v>3196</v>
      </c>
      <c r="K3927" s="5"/>
    </row>
    <row r="3928">
      <c r="A3928" s="3" t="s">
        <v>3426</v>
      </c>
      <c r="B3928" s="3" t="s">
        <v>3425</v>
      </c>
      <c r="C3928" s="3" t="s">
        <v>3477</v>
      </c>
      <c r="D3928" s="4" t="str">
        <f t="shared" si="320"/>
        <v>12Go Link</v>
      </c>
      <c r="E3928" s="3" t="s">
        <v>3203</v>
      </c>
      <c r="K3928" s="5"/>
    </row>
    <row r="3929">
      <c r="A3929" s="3" t="s">
        <v>3426</v>
      </c>
      <c r="B3929" s="3" t="s">
        <v>3425</v>
      </c>
      <c r="C3929" s="3" t="s">
        <v>3477</v>
      </c>
      <c r="D3929" s="4" t="str">
        <f t="shared" si="320"/>
        <v>12Go Link</v>
      </c>
      <c r="E3929" s="3" t="s">
        <v>228</v>
      </c>
      <c r="K3929" s="5"/>
    </row>
    <row r="3930">
      <c r="A3930" s="3" t="s">
        <v>3478</v>
      </c>
      <c r="B3930" s="3" t="s">
        <v>3479</v>
      </c>
      <c r="C3930" s="3" t="s">
        <v>3480</v>
      </c>
      <c r="D3930" s="4" t="str">
        <f t="shared" ref="D3930:D3931" si="321">HYPERLINK("https://12go.asia/en/travel/Amboise-Hotel-Transfer/Paris-Hotel-Transfer", "12Go Link")</f>
        <v>12Go Link</v>
      </c>
      <c r="E3930" s="3" t="s">
        <v>3481</v>
      </c>
      <c r="K3930" s="5"/>
    </row>
    <row r="3931">
      <c r="A3931" s="3" t="s">
        <v>3478</v>
      </c>
      <c r="B3931" s="3" t="s">
        <v>3479</v>
      </c>
      <c r="C3931" s="3" t="s">
        <v>3480</v>
      </c>
      <c r="D3931" s="4" t="str">
        <f t="shared" si="321"/>
        <v>12Go Link</v>
      </c>
      <c r="E3931" s="3" t="s">
        <v>3482</v>
      </c>
      <c r="K3931" s="5"/>
    </row>
    <row r="3932">
      <c r="A3932" s="3" t="s">
        <v>3483</v>
      </c>
      <c r="B3932" s="3" t="s">
        <v>3479</v>
      </c>
      <c r="C3932" s="3" t="s">
        <v>3484</v>
      </c>
      <c r="D3932" s="4" t="str">
        <f t="shared" ref="D3932:D3933" si="322">HYPERLINK("https://12go.asia/en/travel/Beauvais-Hotel-Transfer/Paris-Hotel-Transfer", "12Go Link")</f>
        <v>12Go Link</v>
      </c>
      <c r="E3932" s="3" t="s">
        <v>3481</v>
      </c>
      <c r="K3932" s="5"/>
    </row>
    <row r="3933">
      <c r="A3933" s="3" t="s">
        <v>3483</v>
      </c>
      <c r="B3933" s="3" t="s">
        <v>3479</v>
      </c>
      <c r="C3933" s="3" t="s">
        <v>3484</v>
      </c>
      <c r="D3933" s="4" t="str">
        <f t="shared" si="322"/>
        <v>12Go Link</v>
      </c>
      <c r="E3933" s="3" t="s">
        <v>3482</v>
      </c>
      <c r="K3933" s="5"/>
    </row>
    <row r="3934">
      <c r="A3934" s="3" t="s">
        <v>3485</v>
      </c>
      <c r="B3934" s="3" t="s">
        <v>3479</v>
      </c>
      <c r="C3934" s="3" t="s">
        <v>3486</v>
      </c>
      <c r="D3934" s="4" t="str">
        <f t="shared" ref="D3934:D3935" si="323">HYPERLINK("https://12go.asia/en/travel/Blois-Hotel-Transfer/Paris-Hotel-Transfer", "12Go Link")</f>
        <v>12Go Link</v>
      </c>
      <c r="E3934" s="3" t="s">
        <v>3481</v>
      </c>
      <c r="K3934" s="5"/>
    </row>
    <row r="3935">
      <c r="A3935" s="3" t="s">
        <v>3485</v>
      </c>
      <c r="B3935" s="3" t="s">
        <v>3479</v>
      </c>
      <c r="C3935" s="3" t="s">
        <v>3486</v>
      </c>
      <c r="D3935" s="4" t="str">
        <f t="shared" si="323"/>
        <v>12Go Link</v>
      </c>
      <c r="E3935" s="3" t="s">
        <v>3482</v>
      </c>
      <c r="K3935" s="5"/>
    </row>
    <row r="3936">
      <c r="A3936" s="3" t="s">
        <v>3487</v>
      </c>
      <c r="B3936" s="3" t="s">
        <v>3479</v>
      </c>
      <c r="C3936" s="3" t="s">
        <v>3488</v>
      </c>
      <c r="D3936" s="4" t="str">
        <f t="shared" ref="D3936:D3937" si="324">HYPERLINK("https://12go.asia/en/travel/Caen-Hotel-Transfer/Paris-Hotel-Transfer", "12Go Link")</f>
        <v>12Go Link</v>
      </c>
      <c r="E3936" s="3" t="s">
        <v>3481</v>
      </c>
      <c r="K3936" s="5"/>
    </row>
    <row r="3937">
      <c r="A3937" s="3" t="s">
        <v>3487</v>
      </c>
      <c r="B3937" s="3" t="s">
        <v>3479</v>
      </c>
      <c r="C3937" s="3" t="s">
        <v>3488</v>
      </c>
      <c r="D3937" s="4" t="str">
        <f t="shared" si="324"/>
        <v>12Go Link</v>
      </c>
      <c r="E3937" s="3" t="s">
        <v>3482</v>
      </c>
      <c r="K3937" s="5"/>
    </row>
    <row r="3938">
      <c r="A3938" s="3" t="s">
        <v>3489</v>
      </c>
      <c r="B3938" s="3" t="s">
        <v>3479</v>
      </c>
      <c r="C3938" s="3" t="s">
        <v>3490</v>
      </c>
      <c r="D3938" s="4" t="str">
        <f t="shared" ref="D3938:D3939" si="325">HYPERLINK("https://12go.asia/en/travel/Calais-Hotel-Transfer/Paris-Hotel-Transfer", "12Go Link")</f>
        <v>12Go Link</v>
      </c>
      <c r="E3938" s="3" t="s">
        <v>3481</v>
      </c>
      <c r="K3938" s="5"/>
    </row>
    <row r="3939">
      <c r="A3939" s="3" t="s">
        <v>3489</v>
      </c>
      <c r="B3939" s="3" t="s">
        <v>3479</v>
      </c>
      <c r="C3939" s="3" t="s">
        <v>3490</v>
      </c>
      <c r="D3939" s="4" t="str">
        <f t="shared" si="325"/>
        <v>12Go Link</v>
      </c>
      <c r="E3939" s="3" t="s">
        <v>3482</v>
      </c>
      <c r="K3939" s="5"/>
    </row>
    <row r="3940">
      <c r="A3940" s="3" t="s">
        <v>3491</v>
      </c>
      <c r="B3940" s="3" t="s">
        <v>3479</v>
      </c>
      <c r="C3940" s="3" t="s">
        <v>3492</v>
      </c>
      <c r="D3940" s="4" t="str">
        <f t="shared" ref="D3940:D3941" si="326">HYPERLINK("https://12go.asia/en/travel/Dijon-Hotel-Transfer/Paris-Hotel-Transfer", "12Go Link")</f>
        <v>12Go Link</v>
      </c>
      <c r="E3940" s="3" t="s">
        <v>3481</v>
      </c>
      <c r="K3940" s="5"/>
    </row>
    <row r="3941">
      <c r="A3941" s="3" t="s">
        <v>3491</v>
      </c>
      <c r="B3941" s="3" t="s">
        <v>3479</v>
      </c>
      <c r="C3941" s="3" t="s">
        <v>3492</v>
      </c>
      <c r="D3941" s="4" t="str">
        <f t="shared" si="326"/>
        <v>12Go Link</v>
      </c>
      <c r="E3941" s="3" t="s">
        <v>3482</v>
      </c>
      <c r="K3941" s="5"/>
    </row>
    <row r="3942">
      <c r="A3942" s="3" t="s">
        <v>3493</v>
      </c>
      <c r="B3942" s="3" t="s">
        <v>3479</v>
      </c>
      <c r="C3942" s="3" t="s">
        <v>3494</v>
      </c>
      <c r="D3942" s="4" t="str">
        <f t="shared" ref="D3942:D3943" si="327">HYPERLINK("https://12go.asia/en/travel/Etretat-Hotel-Transfer/Paris-Hotel-Transfer", "12Go Link")</f>
        <v>12Go Link</v>
      </c>
      <c r="E3942" s="3" t="s">
        <v>3481</v>
      </c>
      <c r="K3942" s="5"/>
    </row>
    <row r="3943">
      <c r="A3943" s="3" t="s">
        <v>3493</v>
      </c>
      <c r="B3943" s="3" t="s">
        <v>3479</v>
      </c>
      <c r="C3943" s="3" t="s">
        <v>3494</v>
      </c>
      <c r="D3943" s="4" t="str">
        <f t="shared" si="327"/>
        <v>12Go Link</v>
      </c>
      <c r="E3943" s="3" t="s">
        <v>3482</v>
      </c>
      <c r="K3943" s="5"/>
    </row>
    <row r="3944">
      <c r="A3944" s="3" t="s">
        <v>3495</v>
      </c>
      <c r="B3944" s="3" t="s">
        <v>3479</v>
      </c>
      <c r="C3944" s="3" t="s">
        <v>3496</v>
      </c>
      <c r="D3944" s="4" t="str">
        <f t="shared" ref="D3944:D3945" si="328">HYPERLINK("https://12go.asia/en/travel/Honfleur-Hotel-Transfer/Paris-Hotel-Transfer", "12Go Link")</f>
        <v>12Go Link</v>
      </c>
      <c r="E3944" s="3" t="s">
        <v>3481</v>
      </c>
      <c r="K3944" s="5"/>
    </row>
    <row r="3945">
      <c r="A3945" s="3" t="s">
        <v>3495</v>
      </c>
      <c r="B3945" s="3" t="s">
        <v>3479</v>
      </c>
      <c r="C3945" s="3" t="s">
        <v>3496</v>
      </c>
      <c r="D3945" s="4" t="str">
        <f t="shared" si="328"/>
        <v>12Go Link</v>
      </c>
      <c r="E3945" s="3" t="s">
        <v>3482</v>
      </c>
      <c r="K3945" s="5"/>
    </row>
    <row r="3946">
      <c r="A3946" s="3" t="s">
        <v>3497</v>
      </c>
      <c r="B3946" s="3" t="s">
        <v>3479</v>
      </c>
      <c r="C3946" s="3" t="s">
        <v>3498</v>
      </c>
      <c r="D3946" s="4" t="str">
        <f t="shared" ref="D3946:D3947" si="329">HYPERLINK("https://12go.asia/en/travel/Lille-Hotel-Transfer/Paris-Hotel-Transfer", "12Go Link")</f>
        <v>12Go Link</v>
      </c>
      <c r="E3946" s="3" t="s">
        <v>3481</v>
      </c>
      <c r="K3946" s="5"/>
    </row>
    <row r="3947">
      <c r="A3947" s="3" t="s">
        <v>3497</v>
      </c>
      <c r="B3947" s="3" t="s">
        <v>3479</v>
      </c>
      <c r="C3947" s="3" t="s">
        <v>3498</v>
      </c>
      <c r="D3947" s="4" t="str">
        <f t="shared" si="329"/>
        <v>12Go Link</v>
      </c>
      <c r="E3947" s="3" t="s">
        <v>3482</v>
      </c>
      <c r="K3947" s="5"/>
    </row>
    <row r="3948">
      <c r="A3948" s="3" t="s">
        <v>3499</v>
      </c>
      <c r="B3948" s="3" t="s">
        <v>3479</v>
      </c>
      <c r="C3948" s="3" t="s">
        <v>3500</v>
      </c>
      <c r="D3948" s="4" t="str">
        <f t="shared" ref="D3948:D3949" si="330">HYPERLINK("https://12go.asia/en/travel/Lyon-Hotel-Transfer/Paris-Hotel-Transfer", "12Go Link")</f>
        <v>12Go Link</v>
      </c>
      <c r="E3948" s="3" t="s">
        <v>3481</v>
      </c>
      <c r="K3948" s="5"/>
    </row>
    <row r="3949">
      <c r="A3949" s="3" t="s">
        <v>3499</v>
      </c>
      <c r="B3949" s="3" t="s">
        <v>3479</v>
      </c>
      <c r="C3949" s="3" t="s">
        <v>3500</v>
      </c>
      <c r="D3949" s="4" t="str">
        <f t="shared" si="330"/>
        <v>12Go Link</v>
      </c>
      <c r="E3949" s="3" t="s">
        <v>3482</v>
      </c>
      <c r="K3949" s="5"/>
    </row>
    <row r="3950">
      <c r="A3950" s="3" t="s">
        <v>3501</v>
      </c>
      <c r="B3950" s="3" t="s">
        <v>3479</v>
      </c>
      <c r="C3950" s="3" t="s">
        <v>3502</v>
      </c>
      <c r="D3950" s="4" t="str">
        <f t="shared" ref="D3950:D3951" si="331">HYPERLINK("https://12go.asia/en/travel/Mont-Saint-Michel-Transfer/Paris-Hotel-Transfer", "12Go Link")</f>
        <v>12Go Link</v>
      </c>
      <c r="E3950" s="3" t="s">
        <v>3481</v>
      </c>
      <c r="K3950" s="5"/>
    </row>
    <row r="3951">
      <c r="A3951" s="3" t="s">
        <v>3501</v>
      </c>
      <c r="B3951" s="3" t="s">
        <v>3479</v>
      </c>
      <c r="C3951" s="3" t="s">
        <v>3502</v>
      </c>
      <c r="D3951" s="4" t="str">
        <f t="shared" si="331"/>
        <v>12Go Link</v>
      </c>
      <c r="E3951" s="3" t="s">
        <v>3482</v>
      </c>
      <c r="K3951" s="5"/>
    </row>
    <row r="3952">
      <c r="A3952" s="3" t="s">
        <v>3503</v>
      </c>
      <c r="B3952" s="3" t="s">
        <v>3479</v>
      </c>
      <c r="C3952" s="3" t="s">
        <v>3504</v>
      </c>
      <c r="D3952" s="4" t="str">
        <f t="shared" ref="D3952:D3953" si="332">HYPERLINK("https://12go.asia/en/travel/Nantes-Hotel-Transfer/Paris-Hotel-Transfer", "12Go Link")</f>
        <v>12Go Link</v>
      </c>
      <c r="E3952" s="3" t="s">
        <v>3481</v>
      </c>
      <c r="K3952" s="5"/>
    </row>
    <row r="3953">
      <c r="A3953" s="3" t="s">
        <v>3503</v>
      </c>
      <c r="B3953" s="3" t="s">
        <v>3479</v>
      </c>
      <c r="C3953" s="3" t="s">
        <v>3504</v>
      </c>
      <c r="D3953" s="4" t="str">
        <f t="shared" si="332"/>
        <v>12Go Link</v>
      </c>
      <c r="E3953" s="3" t="s">
        <v>3482</v>
      </c>
      <c r="K3953" s="5"/>
    </row>
    <row r="3954">
      <c r="A3954" s="3" t="s">
        <v>3479</v>
      </c>
      <c r="B3954" s="3" t="s">
        <v>3478</v>
      </c>
      <c r="C3954" s="3" t="s">
        <v>3505</v>
      </c>
      <c r="D3954" s="4" t="str">
        <f t="shared" ref="D3954:D3955" si="333">HYPERLINK("https://12go.asia/en/travel/Paris-Hotel-Transfer/Amboise-Hotel-Transfer", "12Go Link")</f>
        <v>12Go Link</v>
      </c>
      <c r="E3954" s="3" t="s">
        <v>3481</v>
      </c>
      <c r="K3954" s="5"/>
    </row>
    <row r="3955">
      <c r="A3955" s="3" t="s">
        <v>3479</v>
      </c>
      <c r="B3955" s="3" t="s">
        <v>3478</v>
      </c>
      <c r="C3955" s="3" t="s">
        <v>3505</v>
      </c>
      <c r="D3955" s="4" t="str">
        <f t="shared" si="333"/>
        <v>12Go Link</v>
      </c>
      <c r="E3955" s="3" t="s">
        <v>3482</v>
      </c>
      <c r="K3955" s="5"/>
    </row>
    <row r="3956">
      <c r="A3956" s="3" t="s">
        <v>3479</v>
      </c>
      <c r="B3956" s="3" t="s">
        <v>3483</v>
      </c>
      <c r="C3956" s="3" t="s">
        <v>3506</v>
      </c>
      <c r="D3956" s="4" t="str">
        <f t="shared" ref="D3956:D3957" si="334">HYPERLINK("https://12go.asia/en/travel/Paris-Hotel-Transfer/Beauvais-Hotel-Transfer", "12Go Link")</f>
        <v>12Go Link</v>
      </c>
      <c r="E3956" s="3" t="s">
        <v>3481</v>
      </c>
      <c r="K3956" s="5"/>
    </row>
    <row r="3957">
      <c r="A3957" s="3" t="s">
        <v>3479</v>
      </c>
      <c r="B3957" s="3" t="s">
        <v>3483</v>
      </c>
      <c r="C3957" s="3" t="s">
        <v>3506</v>
      </c>
      <c r="D3957" s="4" t="str">
        <f t="shared" si="334"/>
        <v>12Go Link</v>
      </c>
      <c r="E3957" s="3" t="s">
        <v>3482</v>
      </c>
      <c r="K3957" s="5"/>
    </row>
    <row r="3958">
      <c r="A3958" s="3" t="s">
        <v>3479</v>
      </c>
      <c r="B3958" s="3" t="s">
        <v>3485</v>
      </c>
      <c r="C3958" s="3" t="s">
        <v>3507</v>
      </c>
      <c r="D3958" s="4" t="str">
        <f t="shared" ref="D3958:D3959" si="335">HYPERLINK("https://12go.asia/en/travel/Paris-Hotel-Transfer/Blois-Hotel-Transfer", "12Go Link")</f>
        <v>12Go Link</v>
      </c>
      <c r="E3958" s="3" t="s">
        <v>3481</v>
      </c>
      <c r="K3958" s="5"/>
    </row>
    <row r="3959">
      <c r="A3959" s="3" t="s">
        <v>3479</v>
      </c>
      <c r="B3959" s="3" t="s">
        <v>3485</v>
      </c>
      <c r="C3959" s="3" t="s">
        <v>3507</v>
      </c>
      <c r="D3959" s="4" t="str">
        <f t="shared" si="335"/>
        <v>12Go Link</v>
      </c>
      <c r="E3959" s="3" t="s">
        <v>3482</v>
      </c>
      <c r="K3959" s="5"/>
    </row>
    <row r="3960">
      <c r="A3960" s="3" t="s">
        <v>3479</v>
      </c>
      <c r="B3960" s="3" t="s">
        <v>3487</v>
      </c>
      <c r="C3960" s="3" t="s">
        <v>3508</v>
      </c>
      <c r="D3960" s="4" t="str">
        <f t="shared" ref="D3960:D3961" si="336">HYPERLINK("https://12go.asia/en/travel/Paris-Hotel-Transfer/Caen-Hotel-Transfer", "12Go Link")</f>
        <v>12Go Link</v>
      </c>
      <c r="E3960" s="3" t="s">
        <v>3481</v>
      </c>
      <c r="K3960" s="5"/>
    </row>
    <row r="3961">
      <c r="A3961" s="3" t="s">
        <v>3479</v>
      </c>
      <c r="B3961" s="3" t="s">
        <v>3487</v>
      </c>
      <c r="C3961" s="3" t="s">
        <v>3508</v>
      </c>
      <c r="D3961" s="4" t="str">
        <f t="shared" si="336"/>
        <v>12Go Link</v>
      </c>
      <c r="E3961" s="3" t="s">
        <v>3482</v>
      </c>
      <c r="K3961" s="5"/>
    </row>
    <row r="3962">
      <c r="A3962" s="3" t="s">
        <v>3479</v>
      </c>
      <c r="B3962" s="3" t="s">
        <v>3489</v>
      </c>
      <c r="C3962" s="3" t="s">
        <v>3509</v>
      </c>
      <c r="D3962" s="4" t="str">
        <f t="shared" ref="D3962:D3963" si="337">HYPERLINK("https://12go.asia/en/travel/Paris-Hotel-Transfer/Calais-Hotel-Transfer", "12Go Link")</f>
        <v>12Go Link</v>
      </c>
      <c r="E3962" s="3" t="s">
        <v>3481</v>
      </c>
      <c r="K3962" s="5"/>
    </row>
    <row r="3963">
      <c r="A3963" s="3" t="s">
        <v>3479</v>
      </c>
      <c r="B3963" s="3" t="s">
        <v>3489</v>
      </c>
      <c r="C3963" s="3" t="s">
        <v>3509</v>
      </c>
      <c r="D3963" s="4" t="str">
        <f t="shared" si="337"/>
        <v>12Go Link</v>
      </c>
      <c r="E3963" s="3" t="s">
        <v>3482</v>
      </c>
      <c r="K3963" s="5"/>
    </row>
    <row r="3964">
      <c r="A3964" s="3" t="s">
        <v>3479</v>
      </c>
      <c r="B3964" s="3" t="s">
        <v>3491</v>
      </c>
      <c r="C3964" s="3" t="s">
        <v>3510</v>
      </c>
      <c r="D3964" s="4" t="str">
        <f t="shared" ref="D3964:D3965" si="338">HYPERLINK("https://12go.asia/en/travel/Paris-Hotel-Transfer/Dijon-Hotel-Transfer", "12Go Link")</f>
        <v>12Go Link</v>
      </c>
      <c r="E3964" s="3" t="s">
        <v>3481</v>
      </c>
      <c r="K3964" s="5"/>
    </row>
    <row r="3965">
      <c r="A3965" s="3" t="s">
        <v>3479</v>
      </c>
      <c r="B3965" s="3" t="s">
        <v>3491</v>
      </c>
      <c r="C3965" s="3" t="s">
        <v>3510</v>
      </c>
      <c r="D3965" s="4" t="str">
        <f t="shared" si="338"/>
        <v>12Go Link</v>
      </c>
      <c r="E3965" s="3" t="s">
        <v>3482</v>
      </c>
      <c r="K3965" s="5"/>
    </row>
    <row r="3966">
      <c r="A3966" s="3" t="s">
        <v>3479</v>
      </c>
      <c r="B3966" s="3" t="s">
        <v>3493</v>
      </c>
      <c r="C3966" s="3" t="s">
        <v>3511</v>
      </c>
      <c r="D3966" s="4" t="str">
        <f t="shared" ref="D3966:D3967" si="339">HYPERLINK("https://12go.asia/en/travel/Paris-Hotel-Transfer/Etretat-Hotel-Transfer", "12Go Link")</f>
        <v>12Go Link</v>
      </c>
      <c r="E3966" s="3" t="s">
        <v>3481</v>
      </c>
      <c r="K3966" s="5"/>
    </row>
    <row r="3967">
      <c r="A3967" s="3" t="s">
        <v>3479</v>
      </c>
      <c r="B3967" s="3" t="s">
        <v>3493</v>
      </c>
      <c r="C3967" s="3" t="s">
        <v>3511</v>
      </c>
      <c r="D3967" s="4" t="str">
        <f t="shared" si="339"/>
        <v>12Go Link</v>
      </c>
      <c r="E3967" s="3" t="s">
        <v>3482</v>
      </c>
      <c r="K3967" s="5"/>
    </row>
    <row r="3968">
      <c r="A3968" s="3" t="s">
        <v>3479</v>
      </c>
      <c r="B3968" s="3" t="s">
        <v>3495</v>
      </c>
      <c r="C3968" s="3" t="s">
        <v>3512</v>
      </c>
      <c r="D3968" s="4" t="str">
        <f t="shared" ref="D3968:D3969" si="340">HYPERLINK("https://12go.asia/en/travel/Paris-Hotel-Transfer/Honfleur-Hotel-Transfer", "12Go Link")</f>
        <v>12Go Link</v>
      </c>
      <c r="E3968" s="3" t="s">
        <v>3481</v>
      </c>
      <c r="K3968" s="5"/>
    </row>
    <row r="3969">
      <c r="A3969" s="3" t="s">
        <v>3479</v>
      </c>
      <c r="B3969" s="3" t="s">
        <v>3495</v>
      </c>
      <c r="C3969" s="3" t="s">
        <v>3512</v>
      </c>
      <c r="D3969" s="4" t="str">
        <f t="shared" si="340"/>
        <v>12Go Link</v>
      </c>
      <c r="E3969" s="3" t="s">
        <v>3482</v>
      </c>
      <c r="K3969" s="5"/>
    </row>
    <row r="3970">
      <c r="A3970" s="3" t="s">
        <v>3479</v>
      </c>
      <c r="B3970" s="3" t="s">
        <v>3497</v>
      </c>
      <c r="C3970" s="3" t="s">
        <v>3513</v>
      </c>
      <c r="D3970" s="4" t="str">
        <f t="shared" ref="D3970:D3971" si="341">HYPERLINK("https://12go.asia/en/travel/Paris-Hotel-Transfer/Lille-Hotel-Transfer", "12Go Link")</f>
        <v>12Go Link</v>
      </c>
      <c r="E3970" s="3" t="s">
        <v>3481</v>
      </c>
      <c r="K3970" s="5"/>
    </row>
    <row r="3971">
      <c r="A3971" s="3" t="s">
        <v>3479</v>
      </c>
      <c r="B3971" s="3" t="s">
        <v>3497</v>
      </c>
      <c r="C3971" s="3" t="s">
        <v>3513</v>
      </c>
      <c r="D3971" s="4" t="str">
        <f t="shared" si="341"/>
        <v>12Go Link</v>
      </c>
      <c r="E3971" s="3" t="s">
        <v>3482</v>
      </c>
      <c r="K3971" s="5"/>
    </row>
    <row r="3972">
      <c r="A3972" s="3" t="s">
        <v>3479</v>
      </c>
      <c r="B3972" s="3" t="s">
        <v>3499</v>
      </c>
      <c r="C3972" s="3" t="s">
        <v>3514</v>
      </c>
      <c r="D3972" s="4" t="str">
        <f t="shared" ref="D3972:D3973" si="342">HYPERLINK("https://12go.asia/en/travel/Paris-Hotel-Transfer/Lyon-Hotel-Transfer", "12Go Link")</f>
        <v>12Go Link</v>
      </c>
      <c r="E3972" s="3" t="s">
        <v>3481</v>
      </c>
      <c r="K3972" s="5"/>
    </row>
    <row r="3973">
      <c r="A3973" s="3" t="s">
        <v>3479</v>
      </c>
      <c r="B3973" s="3" t="s">
        <v>3499</v>
      </c>
      <c r="C3973" s="3" t="s">
        <v>3514</v>
      </c>
      <c r="D3973" s="4" t="str">
        <f t="shared" si="342"/>
        <v>12Go Link</v>
      </c>
      <c r="E3973" s="3" t="s">
        <v>3482</v>
      </c>
      <c r="K3973" s="5"/>
    </row>
    <row r="3974">
      <c r="A3974" s="3" t="s">
        <v>3479</v>
      </c>
      <c r="B3974" s="3" t="s">
        <v>3501</v>
      </c>
      <c r="C3974" s="3" t="s">
        <v>3515</v>
      </c>
      <c r="D3974" s="4" t="str">
        <f t="shared" ref="D3974:D3975" si="343">HYPERLINK("https://12go.asia/en/travel/Paris-Hotel-Transfer/Mont-Saint-Michel-Transfer", "12Go Link")</f>
        <v>12Go Link</v>
      </c>
      <c r="E3974" s="3" t="s">
        <v>3481</v>
      </c>
      <c r="K3974" s="5"/>
    </row>
    <row r="3975">
      <c r="A3975" s="3" t="s">
        <v>3479</v>
      </c>
      <c r="B3975" s="3" t="s">
        <v>3501</v>
      </c>
      <c r="C3975" s="3" t="s">
        <v>3515</v>
      </c>
      <c r="D3975" s="4" t="str">
        <f t="shared" si="343"/>
        <v>12Go Link</v>
      </c>
      <c r="E3975" s="3" t="s">
        <v>3482</v>
      </c>
      <c r="K3975" s="5"/>
    </row>
    <row r="3976">
      <c r="A3976" s="3" t="s">
        <v>3479</v>
      </c>
      <c r="B3976" s="3" t="s">
        <v>3503</v>
      </c>
      <c r="C3976" s="3" t="s">
        <v>3516</v>
      </c>
      <c r="D3976" s="4" t="str">
        <f t="shared" ref="D3976:D3977" si="344">HYPERLINK("https://12go.asia/en/travel/Paris-Hotel-Transfer/Nantes-Hotel-Transfer", "12Go Link")</f>
        <v>12Go Link</v>
      </c>
      <c r="E3976" s="3" t="s">
        <v>3481</v>
      </c>
      <c r="K3976" s="5"/>
    </row>
    <row r="3977">
      <c r="A3977" s="3" t="s">
        <v>3479</v>
      </c>
      <c r="B3977" s="3" t="s">
        <v>3503</v>
      </c>
      <c r="C3977" s="3" t="s">
        <v>3516</v>
      </c>
      <c r="D3977" s="4" t="str">
        <f t="shared" si="344"/>
        <v>12Go Link</v>
      </c>
      <c r="E3977" s="3" t="s">
        <v>3482</v>
      </c>
      <c r="K3977" s="5"/>
    </row>
    <row r="3978">
      <c r="A3978" s="3" t="s">
        <v>3479</v>
      </c>
      <c r="B3978" s="3" t="s">
        <v>3479</v>
      </c>
      <c r="C3978" s="3" t="s">
        <v>3517</v>
      </c>
      <c r="D3978" s="4" t="str">
        <f t="shared" ref="D3978:D3979" si="345">HYPERLINK("https://12go.asia/en/travel/Charles-de-Gaulle-Airport/Paris-Disneyland", "12Go Link")</f>
        <v>12Go Link</v>
      </c>
      <c r="E3978" s="3" t="s">
        <v>3481</v>
      </c>
      <c r="K3978" s="5"/>
    </row>
    <row r="3979">
      <c r="A3979" s="3" t="s">
        <v>3479</v>
      </c>
      <c r="B3979" s="3" t="s">
        <v>3479</v>
      </c>
      <c r="C3979" s="3" t="s">
        <v>3517</v>
      </c>
      <c r="D3979" s="4" t="str">
        <f t="shared" si="345"/>
        <v>12Go Link</v>
      </c>
      <c r="E3979" s="3" t="s">
        <v>3482</v>
      </c>
      <c r="K3979" s="5"/>
    </row>
    <row r="3980">
      <c r="A3980" s="3" t="s">
        <v>3479</v>
      </c>
      <c r="B3980" s="3" t="s">
        <v>3479</v>
      </c>
      <c r="C3980" s="3" t="s">
        <v>3518</v>
      </c>
      <c r="D3980" s="4" t="str">
        <f t="shared" ref="D3980:D3982" si="346">HYPERLINK("https://12go.asia/en/travel/Charles-de-Gaulle-Airport/Paris-Hotel-Transfer", "12Go Link")</f>
        <v>12Go Link</v>
      </c>
      <c r="E3980" s="3" t="s">
        <v>3519</v>
      </c>
      <c r="K3980" s="5"/>
    </row>
    <row r="3981">
      <c r="A3981" s="3" t="s">
        <v>3479</v>
      </c>
      <c r="B3981" s="3" t="s">
        <v>3479</v>
      </c>
      <c r="C3981" s="3" t="s">
        <v>3518</v>
      </c>
      <c r="D3981" s="4" t="str">
        <f t="shared" si="346"/>
        <v>12Go Link</v>
      </c>
      <c r="E3981" s="3" t="s">
        <v>3481</v>
      </c>
      <c r="K3981" s="5"/>
    </row>
    <row r="3982">
      <c r="A3982" s="3" t="s">
        <v>3479</v>
      </c>
      <c r="B3982" s="3" t="s">
        <v>3479</v>
      </c>
      <c r="C3982" s="3" t="s">
        <v>3518</v>
      </c>
      <c r="D3982" s="4" t="str">
        <f t="shared" si="346"/>
        <v>12Go Link</v>
      </c>
      <c r="E3982" s="3" t="s">
        <v>3482</v>
      </c>
      <c r="K3982" s="5"/>
    </row>
    <row r="3983">
      <c r="A3983" s="3" t="s">
        <v>3479</v>
      </c>
      <c r="B3983" s="3" t="s">
        <v>3479</v>
      </c>
      <c r="C3983" s="3" t="s">
        <v>3520</v>
      </c>
      <c r="D3983" s="4" t="str">
        <f t="shared" ref="D3983:D3984" si="347">HYPERLINK("https://12go.asia/en/travel/Gare-de-Lyon-Train-Station/Gare-du-Nord-Train-Station", "12Go Link")</f>
        <v>12Go Link</v>
      </c>
      <c r="E3983" s="3" t="s">
        <v>3481</v>
      </c>
      <c r="K3983" s="5"/>
    </row>
    <row r="3984">
      <c r="A3984" s="3" t="s">
        <v>3479</v>
      </c>
      <c r="B3984" s="3" t="s">
        <v>3479</v>
      </c>
      <c r="C3984" s="3" t="s">
        <v>3520</v>
      </c>
      <c r="D3984" s="4" t="str">
        <f t="shared" si="347"/>
        <v>12Go Link</v>
      </c>
      <c r="E3984" s="3" t="s">
        <v>3482</v>
      </c>
      <c r="K3984" s="5"/>
    </row>
    <row r="3985">
      <c r="A3985" s="3" t="s">
        <v>3479</v>
      </c>
      <c r="B3985" s="3" t="s">
        <v>3479</v>
      </c>
      <c r="C3985" s="3" t="s">
        <v>3521</v>
      </c>
      <c r="D3985" s="4" t="str">
        <f t="shared" ref="D3985:D3986" si="348">HYPERLINK("https://12go.asia/en/travel/Gare-du-Nord-Train-Station/Gare-de-Lyon-Train-Station", "12Go Link")</f>
        <v>12Go Link</v>
      </c>
      <c r="E3985" s="3" t="s">
        <v>3481</v>
      </c>
      <c r="K3985" s="5"/>
    </row>
    <row r="3986">
      <c r="A3986" s="3" t="s">
        <v>3479</v>
      </c>
      <c r="B3986" s="3" t="s">
        <v>3479</v>
      </c>
      <c r="C3986" s="3" t="s">
        <v>3521</v>
      </c>
      <c r="D3986" s="4" t="str">
        <f t="shared" si="348"/>
        <v>12Go Link</v>
      </c>
      <c r="E3986" s="3" t="s">
        <v>3482</v>
      </c>
      <c r="K3986" s="5"/>
    </row>
    <row r="3987">
      <c r="A3987" s="3" t="s">
        <v>3479</v>
      </c>
      <c r="B3987" s="3" t="s">
        <v>3479</v>
      </c>
      <c r="C3987" s="3" t="s">
        <v>3522</v>
      </c>
      <c r="D3987" s="4" t="str">
        <f t="shared" ref="D3987:D3988" si="349">HYPERLINK("https://12go.asia/en/travel/Paris-Disneyland/Charles-de-Gaulle-Airport", "12Go Link")</f>
        <v>12Go Link</v>
      </c>
      <c r="E3987" s="3" t="s">
        <v>3481</v>
      </c>
      <c r="K3987" s="5"/>
    </row>
    <row r="3988">
      <c r="A3988" s="3" t="s">
        <v>3479</v>
      </c>
      <c r="B3988" s="3" t="s">
        <v>3479</v>
      </c>
      <c r="C3988" s="3" t="s">
        <v>3522</v>
      </c>
      <c r="D3988" s="4" t="str">
        <f t="shared" si="349"/>
        <v>12Go Link</v>
      </c>
      <c r="E3988" s="3" t="s">
        <v>3482</v>
      </c>
      <c r="K3988" s="5"/>
    </row>
    <row r="3989">
      <c r="A3989" s="3" t="s">
        <v>3479</v>
      </c>
      <c r="B3989" s="3" t="s">
        <v>3479</v>
      </c>
      <c r="C3989" s="3" t="s">
        <v>3523</v>
      </c>
      <c r="D3989" s="4" t="str">
        <f t="shared" ref="D3989:D3990" si="350">HYPERLINK("https://12go.asia/en/travel/Paris-Disneyland/Paris-Hotel-Transfer", "12Go Link")</f>
        <v>12Go Link</v>
      </c>
      <c r="E3989" s="3" t="s">
        <v>3481</v>
      </c>
      <c r="K3989" s="5"/>
    </row>
    <row r="3990">
      <c r="A3990" s="3" t="s">
        <v>3479</v>
      </c>
      <c r="B3990" s="3" t="s">
        <v>3479</v>
      </c>
      <c r="C3990" s="3" t="s">
        <v>3523</v>
      </c>
      <c r="D3990" s="4" t="str">
        <f t="shared" si="350"/>
        <v>12Go Link</v>
      </c>
      <c r="E3990" s="3" t="s">
        <v>3482</v>
      </c>
      <c r="K3990" s="5"/>
    </row>
    <row r="3991">
      <c r="A3991" s="3" t="s">
        <v>3479</v>
      </c>
      <c r="B3991" s="3" t="s">
        <v>3479</v>
      </c>
      <c r="C3991" s="3" t="s">
        <v>3524</v>
      </c>
      <c r="D3991" s="4" t="str">
        <f t="shared" ref="D3991:D3992" si="351">HYPERLINK("https://12go.asia/en/travel/Paris-Disneyland/Paris-Orly-Airport", "12Go Link")</f>
        <v>12Go Link</v>
      </c>
      <c r="E3991" s="3" t="s">
        <v>3481</v>
      </c>
      <c r="K3991" s="5"/>
    </row>
    <row r="3992">
      <c r="A3992" s="3" t="s">
        <v>3479</v>
      </c>
      <c r="B3992" s="3" t="s">
        <v>3479</v>
      </c>
      <c r="C3992" s="3" t="s">
        <v>3524</v>
      </c>
      <c r="D3992" s="4" t="str">
        <f t="shared" si="351"/>
        <v>12Go Link</v>
      </c>
      <c r="E3992" s="3" t="s">
        <v>3482</v>
      </c>
      <c r="K3992" s="5"/>
    </row>
    <row r="3993">
      <c r="A3993" s="3" t="s">
        <v>3479</v>
      </c>
      <c r="B3993" s="3" t="s">
        <v>3479</v>
      </c>
      <c r="C3993" s="3" t="s">
        <v>3525</v>
      </c>
      <c r="D3993" s="4" t="str">
        <f t="shared" ref="D3993:D3995" si="352">HYPERLINK("https://12go.asia/en/travel/Paris-Hotel-Transfer/Charles-de-Gaulle-Airport", "12Go Link")</f>
        <v>12Go Link</v>
      </c>
      <c r="E3993" s="3" t="s">
        <v>3519</v>
      </c>
      <c r="K3993" s="5"/>
    </row>
    <row r="3994">
      <c r="A3994" s="3" t="s">
        <v>3479</v>
      </c>
      <c r="B3994" s="3" t="s">
        <v>3479</v>
      </c>
      <c r="C3994" s="3" t="s">
        <v>3525</v>
      </c>
      <c r="D3994" s="4" t="str">
        <f t="shared" si="352"/>
        <v>12Go Link</v>
      </c>
      <c r="E3994" s="3" t="s">
        <v>3481</v>
      </c>
      <c r="K3994" s="5"/>
    </row>
    <row r="3995">
      <c r="A3995" s="3" t="s">
        <v>3479</v>
      </c>
      <c r="B3995" s="3" t="s">
        <v>3479</v>
      </c>
      <c r="C3995" s="3" t="s">
        <v>3525</v>
      </c>
      <c r="D3995" s="4" t="str">
        <f t="shared" si="352"/>
        <v>12Go Link</v>
      </c>
      <c r="E3995" s="3" t="s">
        <v>3482</v>
      </c>
      <c r="K3995" s="5"/>
    </row>
    <row r="3996">
      <c r="A3996" s="3" t="s">
        <v>3479</v>
      </c>
      <c r="B3996" s="3" t="s">
        <v>3479</v>
      </c>
      <c r="C3996" s="3" t="s">
        <v>3526</v>
      </c>
      <c r="D3996" s="4" t="str">
        <f t="shared" ref="D3996:D3997" si="353">HYPERLINK("https://12go.asia/en/travel/Paris-Hotel-Transfer/Paris-Disneyland", "12Go Link")</f>
        <v>12Go Link</v>
      </c>
      <c r="E3996" s="3" t="s">
        <v>3481</v>
      </c>
      <c r="K3996" s="5"/>
    </row>
    <row r="3997">
      <c r="A3997" s="3" t="s">
        <v>3479</v>
      </c>
      <c r="B3997" s="3" t="s">
        <v>3479</v>
      </c>
      <c r="C3997" s="3" t="s">
        <v>3526</v>
      </c>
      <c r="D3997" s="4" t="str">
        <f t="shared" si="353"/>
        <v>12Go Link</v>
      </c>
      <c r="E3997" s="3" t="s">
        <v>3482</v>
      </c>
      <c r="K3997" s="5"/>
    </row>
    <row r="3998">
      <c r="A3998" s="3" t="s">
        <v>3479</v>
      </c>
      <c r="B3998" s="3" t="s">
        <v>3479</v>
      </c>
      <c r="C3998" s="3" t="s">
        <v>3527</v>
      </c>
      <c r="D3998" s="4" t="str">
        <f t="shared" ref="D3998:D4000" si="354">HYPERLINK("https://12go.asia/en/travel/Paris-Hotel-Transfer/Paris-Orly-Airport", "12Go Link")</f>
        <v>12Go Link</v>
      </c>
      <c r="E3998" s="3" t="s">
        <v>3519</v>
      </c>
      <c r="K3998" s="5"/>
    </row>
    <row r="3999">
      <c r="A3999" s="3" t="s">
        <v>3479</v>
      </c>
      <c r="B3999" s="3" t="s">
        <v>3479</v>
      </c>
      <c r="C3999" s="3" t="s">
        <v>3527</v>
      </c>
      <c r="D3999" s="4" t="str">
        <f t="shared" si="354"/>
        <v>12Go Link</v>
      </c>
      <c r="E3999" s="3" t="s">
        <v>3481</v>
      </c>
      <c r="K3999" s="5"/>
    </row>
    <row r="4000">
      <c r="A4000" s="3" t="s">
        <v>3479</v>
      </c>
      <c r="B4000" s="3" t="s">
        <v>3479</v>
      </c>
      <c r="C4000" s="3" t="s">
        <v>3527</v>
      </c>
      <c r="D4000" s="4" t="str">
        <f t="shared" si="354"/>
        <v>12Go Link</v>
      </c>
      <c r="E4000" s="3" t="s">
        <v>3482</v>
      </c>
      <c r="K4000" s="5"/>
    </row>
    <row r="4001">
      <c r="A4001" s="3" t="s">
        <v>3479</v>
      </c>
      <c r="B4001" s="3" t="s">
        <v>3479</v>
      </c>
      <c r="C4001" s="3" t="s">
        <v>3528</v>
      </c>
      <c r="D4001" s="4" t="str">
        <f t="shared" ref="D4001:D4002" si="355">HYPERLINK("https://12go.asia/en/travel/Paris-Orly-Airport/Paris-Disneyland", "12Go Link")</f>
        <v>12Go Link</v>
      </c>
      <c r="E4001" s="3" t="s">
        <v>3481</v>
      </c>
      <c r="K4001" s="5"/>
    </row>
    <row r="4002">
      <c r="A4002" s="3" t="s">
        <v>3479</v>
      </c>
      <c r="B4002" s="3" t="s">
        <v>3479</v>
      </c>
      <c r="C4002" s="3" t="s">
        <v>3528</v>
      </c>
      <c r="D4002" s="4" t="str">
        <f t="shared" si="355"/>
        <v>12Go Link</v>
      </c>
      <c r="E4002" s="3" t="s">
        <v>3482</v>
      </c>
      <c r="K4002" s="5"/>
    </row>
    <row r="4003">
      <c r="A4003" s="3" t="s">
        <v>3479</v>
      </c>
      <c r="B4003" s="3" t="s">
        <v>3479</v>
      </c>
      <c r="C4003" s="3" t="s">
        <v>3529</v>
      </c>
      <c r="D4003" s="4" t="str">
        <f t="shared" ref="D4003:D4005" si="356">HYPERLINK("https://12go.asia/en/travel/Paris-Orly-Airport/Paris-Hotel-Transfer", "12Go Link")</f>
        <v>12Go Link</v>
      </c>
      <c r="E4003" s="3" t="s">
        <v>3519</v>
      </c>
      <c r="K4003" s="5"/>
    </row>
    <row r="4004">
      <c r="A4004" s="3" t="s">
        <v>3479</v>
      </c>
      <c r="B4004" s="3" t="s">
        <v>3479</v>
      </c>
      <c r="C4004" s="3" t="s">
        <v>3529</v>
      </c>
      <c r="D4004" s="4" t="str">
        <f t="shared" si="356"/>
        <v>12Go Link</v>
      </c>
      <c r="E4004" s="3" t="s">
        <v>3481</v>
      </c>
      <c r="K4004" s="5"/>
    </row>
    <row r="4005">
      <c r="A4005" s="3" t="s">
        <v>3479</v>
      </c>
      <c r="B4005" s="3" t="s">
        <v>3479</v>
      </c>
      <c r="C4005" s="3" t="s">
        <v>3529</v>
      </c>
      <c r="D4005" s="4" t="str">
        <f t="shared" si="356"/>
        <v>12Go Link</v>
      </c>
      <c r="E4005" s="3" t="s">
        <v>3482</v>
      </c>
      <c r="K4005" s="5"/>
    </row>
    <row r="4006">
      <c r="A4006" s="3" t="s">
        <v>3479</v>
      </c>
      <c r="B4006" s="3" t="s">
        <v>3530</v>
      </c>
      <c r="C4006" s="3" t="s">
        <v>3531</v>
      </c>
      <c r="D4006" s="4" t="str">
        <f t="shared" ref="D4006:D4007" si="357">HYPERLINK("https://12go.asia/en/travel/Paris-Hotel-Transfer/Reims-Hotel-Transfer", "12Go Link")</f>
        <v>12Go Link</v>
      </c>
      <c r="E4006" s="3" t="s">
        <v>3481</v>
      </c>
      <c r="K4006" s="5"/>
    </row>
    <row r="4007">
      <c r="A4007" s="3" t="s">
        <v>3479</v>
      </c>
      <c r="B4007" s="3" t="s">
        <v>3530</v>
      </c>
      <c r="C4007" s="3" t="s">
        <v>3531</v>
      </c>
      <c r="D4007" s="4" t="str">
        <f t="shared" si="357"/>
        <v>12Go Link</v>
      </c>
      <c r="E4007" s="3" t="s">
        <v>3482</v>
      </c>
      <c r="K4007" s="5"/>
    </row>
    <row r="4008">
      <c r="A4008" s="3" t="s">
        <v>3479</v>
      </c>
      <c r="B4008" s="3" t="s">
        <v>3532</v>
      </c>
      <c r="C4008" s="3" t="s">
        <v>3533</v>
      </c>
      <c r="D4008" s="4" t="str">
        <f t="shared" ref="D4008:D4009" si="358">HYPERLINK("https://12go.asia/en/travel/Paris-Hotel-Transfer/Rouen-Hotel-Transfer", "12Go Link")</f>
        <v>12Go Link</v>
      </c>
      <c r="E4008" s="3" t="s">
        <v>3481</v>
      </c>
      <c r="K4008" s="5"/>
    </row>
    <row r="4009">
      <c r="A4009" s="3" t="s">
        <v>3479</v>
      </c>
      <c r="B4009" s="3" t="s">
        <v>3532</v>
      </c>
      <c r="C4009" s="3" t="s">
        <v>3533</v>
      </c>
      <c r="D4009" s="4" t="str">
        <f t="shared" si="358"/>
        <v>12Go Link</v>
      </c>
      <c r="E4009" s="3" t="s">
        <v>3482</v>
      </c>
      <c r="K4009" s="5"/>
    </row>
    <row r="4010">
      <c r="A4010" s="3" t="s">
        <v>3479</v>
      </c>
      <c r="B4010" s="3" t="s">
        <v>3534</v>
      </c>
      <c r="C4010" s="3" t="s">
        <v>3535</v>
      </c>
      <c r="D4010" s="4" t="str">
        <f t="shared" ref="D4010:D4011" si="359">HYPERLINK("https://12go.asia/en/travel/Paris-Hotel-Transfer/Saint-Malo-Hotel-Transfer", "12Go Link")</f>
        <v>12Go Link</v>
      </c>
      <c r="E4010" s="3" t="s">
        <v>3481</v>
      </c>
      <c r="K4010" s="5"/>
    </row>
    <row r="4011">
      <c r="A4011" s="3" t="s">
        <v>3479</v>
      </c>
      <c r="B4011" s="3" t="s">
        <v>3534</v>
      </c>
      <c r="C4011" s="3" t="s">
        <v>3535</v>
      </c>
      <c r="D4011" s="4" t="str">
        <f t="shared" si="359"/>
        <v>12Go Link</v>
      </c>
      <c r="E4011" s="3" t="s">
        <v>3482</v>
      </c>
      <c r="K4011" s="5"/>
    </row>
    <row r="4012">
      <c r="A4012" s="3" t="s">
        <v>3479</v>
      </c>
      <c r="B4012" s="3" t="s">
        <v>3536</v>
      </c>
      <c r="C4012" s="3" t="s">
        <v>3537</v>
      </c>
      <c r="D4012" s="4" t="str">
        <f t="shared" ref="D4012:D4013" si="360">HYPERLINK("https://12go.asia/en/travel/Paris-Hotel-Transfer/Saint-Michel-Hotel-Transfer", "12Go Link")</f>
        <v>12Go Link</v>
      </c>
      <c r="E4012" s="3" t="s">
        <v>3481</v>
      </c>
      <c r="K4012" s="5"/>
    </row>
    <row r="4013">
      <c r="A4013" s="3" t="s">
        <v>3479</v>
      </c>
      <c r="B4013" s="3" t="s">
        <v>3536</v>
      </c>
      <c r="C4013" s="3" t="s">
        <v>3537</v>
      </c>
      <c r="D4013" s="4" t="str">
        <f t="shared" si="360"/>
        <v>12Go Link</v>
      </c>
      <c r="E4013" s="3" t="s">
        <v>3482</v>
      </c>
      <c r="K4013" s="5"/>
    </row>
    <row r="4014">
      <c r="A4014" s="3" t="s">
        <v>3479</v>
      </c>
      <c r="B4014" s="3" t="s">
        <v>3538</v>
      </c>
      <c r="C4014" s="3" t="s">
        <v>3539</v>
      </c>
      <c r="D4014" s="4" t="str">
        <f t="shared" ref="D4014:D4015" si="361">HYPERLINK("https://12go.asia/en/travel/Paris-Hotel-Transfer/Tours-Hotel-Transfer", "12Go Link")</f>
        <v>12Go Link</v>
      </c>
      <c r="E4014" s="3" t="s">
        <v>3481</v>
      </c>
      <c r="K4014" s="5"/>
    </row>
    <row r="4015">
      <c r="A4015" s="3" t="s">
        <v>3479</v>
      </c>
      <c r="B4015" s="3" t="s">
        <v>3538</v>
      </c>
      <c r="C4015" s="3" t="s">
        <v>3539</v>
      </c>
      <c r="D4015" s="4" t="str">
        <f t="shared" si="361"/>
        <v>12Go Link</v>
      </c>
      <c r="E4015" s="3" t="s">
        <v>3482</v>
      </c>
      <c r="K4015" s="5"/>
    </row>
    <row r="4016">
      <c r="A4016" s="3" t="s">
        <v>3479</v>
      </c>
      <c r="B4016" s="3" t="s">
        <v>3540</v>
      </c>
      <c r="C4016" s="3" t="s">
        <v>3541</v>
      </c>
      <c r="D4016" s="4" t="str">
        <f t="shared" ref="D4016:D4017" si="362">HYPERLINK("https://12go.asia/en/travel/Paris-Hotel-Transfer/Chateau-de-Versailles", "12Go Link")</f>
        <v>12Go Link</v>
      </c>
      <c r="E4016" s="3" t="s">
        <v>3481</v>
      </c>
      <c r="K4016" s="5"/>
    </row>
    <row r="4017">
      <c r="A4017" s="3" t="s">
        <v>3479</v>
      </c>
      <c r="B4017" s="3" t="s">
        <v>3540</v>
      </c>
      <c r="C4017" s="3" t="s">
        <v>3541</v>
      </c>
      <c r="D4017" s="4" t="str">
        <f t="shared" si="362"/>
        <v>12Go Link</v>
      </c>
      <c r="E4017" s="3" t="s">
        <v>3482</v>
      </c>
      <c r="K4017" s="5"/>
    </row>
    <row r="4018">
      <c r="A4018" s="3" t="s">
        <v>3479</v>
      </c>
      <c r="B4018" s="3" t="s">
        <v>3540</v>
      </c>
      <c r="C4018" s="3" t="s">
        <v>3542</v>
      </c>
      <c r="D4018" s="4" t="str">
        <f t="shared" ref="D4018:D4019" si="363">HYPERLINK("https://12go.asia/en/travel/Paris-Hotel-Transfer/Versailles-Hotel-Transfer", "12Go Link")</f>
        <v>12Go Link</v>
      </c>
      <c r="E4018" s="3" t="s">
        <v>3481</v>
      </c>
      <c r="K4018" s="5"/>
    </row>
    <row r="4019">
      <c r="A4019" s="3" t="s">
        <v>3479</v>
      </c>
      <c r="B4019" s="3" t="s">
        <v>3540</v>
      </c>
      <c r="C4019" s="3" t="s">
        <v>3542</v>
      </c>
      <c r="D4019" s="4" t="str">
        <f t="shared" si="363"/>
        <v>12Go Link</v>
      </c>
      <c r="E4019" s="3" t="s">
        <v>3482</v>
      </c>
      <c r="K4019" s="5"/>
    </row>
    <row r="4020">
      <c r="A4020" s="3" t="s">
        <v>3530</v>
      </c>
      <c r="B4020" s="3" t="s">
        <v>3479</v>
      </c>
      <c r="C4020" s="3" t="s">
        <v>3543</v>
      </c>
      <c r="D4020" s="4" t="str">
        <f t="shared" ref="D4020:D4021" si="364">HYPERLINK("https://12go.asia/en/travel/Reims-Hotel-Transfer/Paris-Hotel-Transfer", "12Go Link")</f>
        <v>12Go Link</v>
      </c>
      <c r="E4020" s="3" t="s">
        <v>3481</v>
      </c>
      <c r="K4020" s="5"/>
    </row>
    <row r="4021">
      <c r="A4021" s="3" t="s">
        <v>3530</v>
      </c>
      <c r="B4021" s="3" t="s">
        <v>3479</v>
      </c>
      <c r="C4021" s="3" t="s">
        <v>3543</v>
      </c>
      <c r="D4021" s="4" t="str">
        <f t="shared" si="364"/>
        <v>12Go Link</v>
      </c>
      <c r="E4021" s="3" t="s">
        <v>3482</v>
      </c>
      <c r="K4021" s="5"/>
    </row>
    <row r="4022">
      <c r="A4022" s="3" t="s">
        <v>3532</v>
      </c>
      <c r="B4022" s="3" t="s">
        <v>3479</v>
      </c>
      <c r="C4022" s="3" t="s">
        <v>3544</v>
      </c>
      <c r="D4022" s="4" t="str">
        <f t="shared" ref="D4022:D4023" si="365">HYPERLINK("https://12go.asia/en/travel/Rouen-Hotel-Transfer/Paris-Hotel-Transfer", "12Go Link")</f>
        <v>12Go Link</v>
      </c>
      <c r="E4022" s="3" t="s">
        <v>3481</v>
      </c>
      <c r="K4022" s="5"/>
    </row>
    <row r="4023">
      <c r="A4023" s="3" t="s">
        <v>3532</v>
      </c>
      <c r="B4023" s="3" t="s">
        <v>3479</v>
      </c>
      <c r="C4023" s="3" t="s">
        <v>3544</v>
      </c>
      <c r="D4023" s="4" t="str">
        <f t="shared" si="365"/>
        <v>12Go Link</v>
      </c>
      <c r="E4023" s="3" t="s">
        <v>3482</v>
      </c>
      <c r="K4023" s="5"/>
    </row>
    <row r="4024">
      <c r="A4024" s="3" t="s">
        <v>3534</v>
      </c>
      <c r="B4024" s="3" t="s">
        <v>3479</v>
      </c>
      <c r="C4024" s="3" t="s">
        <v>3545</v>
      </c>
      <c r="D4024" s="4" t="str">
        <f t="shared" ref="D4024:D4025" si="366">HYPERLINK("https://12go.asia/en/travel/Saint-Malo-Hotel-Transfer/Paris-Hotel-Transfer", "12Go Link")</f>
        <v>12Go Link</v>
      </c>
      <c r="E4024" s="3" t="s">
        <v>3481</v>
      </c>
      <c r="K4024" s="5"/>
    </row>
    <row r="4025">
      <c r="A4025" s="3" t="s">
        <v>3534</v>
      </c>
      <c r="B4025" s="3" t="s">
        <v>3479</v>
      </c>
      <c r="C4025" s="3" t="s">
        <v>3545</v>
      </c>
      <c r="D4025" s="4" t="str">
        <f t="shared" si="366"/>
        <v>12Go Link</v>
      </c>
      <c r="E4025" s="3" t="s">
        <v>3482</v>
      </c>
      <c r="K4025" s="5"/>
    </row>
    <row r="4026">
      <c r="A4026" s="3" t="s">
        <v>3536</v>
      </c>
      <c r="B4026" s="3" t="s">
        <v>3479</v>
      </c>
      <c r="C4026" s="3" t="s">
        <v>3546</v>
      </c>
      <c r="D4026" s="4" t="str">
        <f t="shared" ref="D4026:D4027" si="367">HYPERLINK("https://12go.asia/en/travel/Saint-Michel-Hotel-Transfer/Paris-Hotel-Transfer", "12Go Link")</f>
        <v>12Go Link</v>
      </c>
      <c r="E4026" s="3" t="s">
        <v>3481</v>
      </c>
      <c r="K4026" s="5"/>
    </row>
    <row r="4027">
      <c r="A4027" s="3" t="s">
        <v>3536</v>
      </c>
      <c r="B4027" s="3" t="s">
        <v>3479</v>
      </c>
      <c r="C4027" s="3" t="s">
        <v>3546</v>
      </c>
      <c r="D4027" s="4" t="str">
        <f t="shared" si="367"/>
        <v>12Go Link</v>
      </c>
      <c r="E4027" s="3" t="s">
        <v>3482</v>
      </c>
      <c r="K4027" s="5"/>
    </row>
    <row r="4028">
      <c r="A4028" s="3" t="s">
        <v>3538</v>
      </c>
      <c r="B4028" s="3" t="s">
        <v>3479</v>
      </c>
      <c r="C4028" s="3" t="s">
        <v>3547</v>
      </c>
      <c r="D4028" s="4" t="str">
        <f t="shared" ref="D4028:D4029" si="368">HYPERLINK("https://12go.asia/en/travel/Tours-Hotel-Transfer/Paris-Hotel-Transfer", "12Go Link")</f>
        <v>12Go Link</v>
      </c>
      <c r="E4028" s="3" t="s">
        <v>3481</v>
      </c>
      <c r="K4028" s="5"/>
    </row>
    <row r="4029">
      <c r="A4029" s="3" t="s">
        <v>3538</v>
      </c>
      <c r="B4029" s="3" t="s">
        <v>3479</v>
      </c>
      <c r="C4029" s="3" t="s">
        <v>3547</v>
      </c>
      <c r="D4029" s="4" t="str">
        <f t="shared" si="368"/>
        <v>12Go Link</v>
      </c>
      <c r="E4029" s="3" t="s">
        <v>3482</v>
      </c>
      <c r="K4029" s="5"/>
    </row>
    <row r="4030">
      <c r="A4030" s="3" t="s">
        <v>3540</v>
      </c>
      <c r="B4030" s="3" t="s">
        <v>3479</v>
      </c>
      <c r="C4030" s="3" t="s">
        <v>3548</v>
      </c>
      <c r="D4030" s="4" t="str">
        <f t="shared" ref="D4030:D4031" si="369">HYPERLINK("https://12go.asia/en/travel/Chateau-de-Versailles/Paris-Hotel-Transfer", "12Go Link")</f>
        <v>12Go Link</v>
      </c>
      <c r="E4030" s="3" t="s">
        <v>3481</v>
      </c>
      <c r="K4030" s="5"/>
    </row>
    <row r="4031">
      <c r="A4031" s="3" t="s">
        <v>3540</v>
      </c>
      <c r="B4031" s="3" t="s">
        <v>3479</v>
      </c>
      <c r="C4031" s="3" t="s">
        <v>3548</v>
      </c>
      <c r="D4031" s="4" t="str">
        <f t="shared" si="369"/>
        <v>12Go Link</v>
      </c>
      <c r="E4031" s="3" t="s">
        <v>3482</v>
      </c>
      <c r="K4031" s="5"/>
    </row>
    <row r="4032">
      <c r="A4032" s="3" t="s">
        <v>3540</v>
      </c>
      <c r="B4032" s="3" t="s">
        <v>3479</v>
      </c>
      <c r="C4032" s="3" t="s">
        <v>3549</v>
      </c>
      <c r="D4032" s="4" t="str">
        <f t="shared" ref="D4032:D4033" si="370">HYPERLINK("https://12go.asia/en/travel/Versailles-Hotel-Transfer/Paris-Hotel-Transfer", "12Go Link")</f>
        <v>12Go Link</v>
      </c>
      <c r="E4032" s="3" t="s">
        <v>3481</v>
      </c>
      <c r="K4032" s="5"/>
    </row>
    <row r="4033">
      <c r="A4033" s="3" t="s">
        <v>3540</v>
      </c>
      <c r="B4033" s="3" t="s">
        <v>3479</v>
      </c>
      <c r="C4033" s="3" t="s">
        <v>3549</v>
      </c>
      <c r="D4033" s="4" t="str">
        <f t="shared" si="370"/>
        <v>12Go Link</v>
      </c>
      <c r="E4033" s="3" t="s">
        <v>3482</v>
      </c>
      <c r="K4033" s="5"/>
    </row>
    <row r="4034">
      <c r="A4034" s="3" t="s">
        <v>1410</v>
      </c>
      <c r="B4034" s="3" t="s">
        <v>600</v>
      </c>
      <c r="C4034" s="3" t="s">
        <v>3550</v>
      </c>
      <c r="D4034" s="4" t="str">
        <f>HYPERLINK("https://12go.asia/en/travel/hong-kong/boluo", "12Go Link")</f>
        <v>12Go Link</v>
      </c>
      <c r="E4034" s="3" t="s">
        <v>94</v>
      </c>
      <c r="K4034" s="5"/>
    </row>
    <row r="4035">
      <c r="A4035" s="3" t="s">
        <v>1410</v>
      </c>
      <c r="B4035" s="3" t="s">
        <v>609</v>
      </c>
      <c r="C4035" s="3" t="s">
        <v>3551</v>
      </c>
      <c r="D4035" s="4" t="str">
        <f>HYPERLINK("https://12go.asia/en/travel/hong-kong/dongcheng-south", "12Go Link")</f>
        <v>12Go Link</v>
      </c>
      <c r="E4035" s="3" t="s">
        <v>94</v>
      </c>
      <c r="K4035" s="5"/>
    </row>
    <row r="4036">
      <c r="A4036" s="3" t="s">
        <v>1410</v>
      </c>
      <c r="B4036" s="3" t="s">
        <v>1518</v>
      </c>
      <c r="C4036" s="3" t="s">
        <v>3552</v>
      </c>
      <c r="D4036" s="4" t="str">
        <f>HYPERLINK("https://12go.asia/en/travel/hong-kong/duan-yao", "12Go Link")</f>
        <v>12Go Link</v>
      </c>
      <c r="E4036" s="3" t="s">
        <v>94</v>
      </c>
      <c r="K4036" s="5"/>
    </row>
    <row r="4037">
      <c r="A4037" s="3" t="s">
        <v>1410</v>
      </c>
      <c r="B4037" s="3" t="s">
        <v>524</v>
      </c>
      <c r="C4037" s="3" t="s">
        <v>3553</v>
      </c>
      <c r="D4037" s="4" t="str">
        <f>HYPERLINK("https://12go.asia/en/travel/hong-kong/guzhang", "12Go Link")</f>
        <v>12Go Link</v>
      </c>
      <c r="E4037" s="3" t="s">
        <v>94</v>
      </c>
      <c r="K4037" s="5"/>
    </row>
    <row r="4038">
      <c r="A4038" s="3" t="s">
        <v>1410</v>
      </c>
      <c r="B4038" s="3" t="s">
        <v>751</v>
      </c>
      <c r="C4038" s="3" t="s">
        <v>3554</v>
      </c>
      <c r="D4038" s="4" t="str">
        <f>HYPERLINK("https://12go.asia/en/travel/hong-kong/handan", "12Go Link")</f>
        <v>12Go Link</v>
      </c>
      <c r="E4038" s="3" t="s">
        <v>94</v>
      </c>
      <c r="K4038" s="5"/>
    </row>
    <row r="4039">
      <c r="A4039" s="3" t="s">
        <v>1410</v>
      </c>
      <c r="B4039" s="3" t="s">
        <v>639</v>
      </c>
      <c r="C4039" s="3" t="s">
        <v>3555</v>
      </c>
      <c r="D4039" s="4" t="str">
        <f>HYPERLINK("https://12go.asia/en/travel/hong-kong/jiangbei", "12Go Link")</f>
        <v>12Go Link</v>
      </c>
      <c r="E4039" s="3" t="s">
        <v>94</v>
      </c>
      <c r="K4039" s="5"/>
    </row>
    <row r="4040">
      <c r="A4040" s="3" t="s">
        <v>1410</v>
      </c>
      <c r="B4040" s="3" t="s">
        <v>641</v>
      </c>
      <c r="C4040" s="3" t="s">
        <v>3556</v>
      </c>
      <c r="D4040" s="4" t="str">
        <f>HYPERLINK("https://12go.asia/en/travel/hong-kong/jiangjin", "12Go Link")</f>
        <v>12Go Link</v>
      </c>
      <c r="E4040" s="3" t="s">
        <v>94</v>
      </c>
      <c r="K4040" s="5"/>
    </row>
    <row r="4041">
      <c r="A4041" s="3" t="s">
        <v>1410</v>
      </c>
      <c r="B4041" s="3" t="s">
        <v>645</v>
      </c>
      <c r="C4041" s="3" t="s">
        <v>3557</v>
      </c>
      <c r="D4041" s="4" t="str">
        <f>HYPERLINK("https://12go.asia/en/travel/hong-kong/jiangxia", "12Go Link")</f>
        <v>12Go Link</v>
      </c>
      <c r="E4041" s="3" t="s">
        <v>94</v>
      </c>
      <c r="K4041" s="5"/>
    </row>
    <row r="4042">
      <c r="A4042" s="3" t="s">
        <v>1410</v>
      </c>
      <c r="B4042" s="3" t="s">
        <v>647</v>
      </c>
      <c r="C4042" s="3" t="s">
        <v>3558</v>
      </c>
      <c r="D4042" s="4" t="str">
        <f>HYPERLINK("https://12go.asia/en/travel/hong-kong/jiangyuan", "12Go Link")</f>
        <v>12Go Link</v>
      </c>
      <c r="E4042" s="3" t="s">
        <v>94</v>
      </c>
      <c r="K4042" s="5"/>
    </row>
    <row r="4043">
      <c r="A4043" s="3" t="s">
        <v>1410</v>
      </c>
      <c r="B4043" s="3" t="s">
        <v>542</v>
      </c>
      <c r="C4043" s="3" t="s">
        <v>3559</v>
      </c>
      <c r="D4043" s="4" t="str">
        <f>HYPERLINK("https://12go.asia/en/travel/hong-kong/jiaocheng", "12Go Link")</f>
        <v>12Go Link</v>
      </c>
      <c r="E4043" s="3" t="s">
        <v>94</v>
      </c>
      <c r="K4043" s="5"/>
    </row>
    <row r="4044">
      <c r="A4044" s="3" t="s">
        <v>1410</v>
      </c>
      <c r="B4044" s="3" t="s">
        <v>679</v>
      </c>
      <c r="C4044" s="3" t="s">
        <v>3560</v>
      </c>
      <c r="D4044" s="4" t="str">
        <f>HYPERLINK("https://12go.asia/en/travel/hong-kong/mingxi", "12Go Link")</f>
        <v>12Go Link</v>
      </c>
      <c r="E4044" s="3" t="s">
        <v>94</v>
      </c>
      <c r="K4044" s="5"/>
    </row>
    <row r="4045">
      <c r="A4045" s="3" t="s">
        <v>1410</v>
      </c>
      <c r="B4045" s="3" t="s">
        <v>550</v>
      </c>
      <c r="C4045" s="3" t="s">
        <v>3561</v>
      </c>
      <c r="D4045" s="4" t="str">
        <f>HYPERLINK("https://12go.asia/en/travel/hong-kong/saihan", "12Go Link")</f>
        <v>12Go Link</v>
      </c>
      <c r="E4045" s="3" t="s">
        <v>94</v>
      </c>
      <c r="K4045" s="5"/>
    </row>
    <row r="4046">
      <c r="A4046" s="3" t="s">
        <v>1410</v>
      </c>
      <c r="B4046" s="3" t="s">
        <v>1312</v>
      </c>
      <c r="C4046" s="3" t="s">
        <v>3562</v>
      </c>
      <c r="D4046" s="4" t="str">
        <f>HYPERLINK("https://12go.asia/en/travel/hong-kong/shaoyang", "12Go Link")</f>
        <v>12Go Link</v>
      </c>
      <c r="E4046" s="3" t="s">
        <v>94</v>
      </c>
      <c r="K4046" s="5"/>
    </row>
    <row r="4047">
      <c r="A4047" s="3" t="s">
        <v>1410</v>
      </c>
      <c r="B4047" s="3" t="s">
        <v>564</v>
      </c>
      <c r="C4047" s="3" t="s">
        <v>3563</v>
      </c>
      <c r="D4047" s="4" t="str">
        <f>HYPERLINK("https://12go.asia/en/travel/hong-kong/tianxin", "12Go Link")</f>
        <v>12Go Link</v>
      </c>
      <c r="E4047" s="3" t="s">
        <v>94</v>
      </c>
      <c r="K4047" s="5"/>
    </row>
    <row r="4048">
      <c r="A4048" s="3" t="s">
        <v>1410</v>
      </c>
      <c r="B4048" s="3" t="s">
        <v>712</v>
      </c>
      <c r="C4048" s="3" t="s">
        <v>3564</v>
      </c>
      <c r="D4048" s="4" t="str">
        <f>HYPERLINK("https://12go.asia/en/travel/hong-kong/xihu", "12Go Link")</f>
        <v>12Go Link</v>
      </c>
      <c r="E4048" s="3" t="s">
        <v>94</v>
      </c>
      <c r="K4048" s="5"/>
    </row>
    <row r="4049">
      <c r="A4049" s="3" t="s">
        <v>1410</v>
      </c>
      <c r="B4049" s="3" t="s">
        <v>575</v>
      </c>
      <c r="C4049" s="3" t="s">
        <v>3565</v>
      </c>
      <c r="D4049" s="4" t="str">
        <f>HYPERLINK("https://12go.asia/en/travel/hong-kong/xishui", "12Go Link")</f>
        <v>12Go Link</v>
      </c>
      <c r="E4049" s="3" t="s">
        <v>94</v>
      </c>
      <c r="K4049" s="5"/>
    </row>
    <row r="4050">
      <c r="A4050" s="3" t="s">
        <v>1410</v>
      </c>
      <c r="B4050" s="3" t="s">
        <v>3566</v>
      </c>
      <c r="C4050" s="3" t="s">
        <v>3567</v>
      </c>
      <c r="D4050" s="4" t="str">
        <f>HYPERLINK("https://12go.asia/en/travel/hong-kong/bandar-sunway", "12Go Link")</f>
        <v>12Go Link</v>
      </c>
      <c r="E4050" s="3" t="s">
        <v>3568</v>
      </c>
      <c r="K4050" s="5"/>
    </row>
    <row r="4051">
      <c r="A4051" s="3" t="s">
        <v>1410</v>
      </c>
      <c r="B4051" s="3" t="s">
        <v>3569</v>
      </c>
      <c r="C4051" s="3" t="s">
        <v>3570</v>
      </c>
      <c r="D4051" s="4" t="str">
        <f>HYPERLINK("https://12go.asia/en/travel/hong-kong/klang", "12Go Link")</f>
        <v>12Go Link</v>
      </c>
      <c r="E4051" s="3" t="s">
        <v>3568</v>
      </c>
      <c r="K4051" s="5"/>
    </row>
    <row r="4052">
      <c r="A4052" s="3" t="s">
        <v>1410</v>
      </c>
      <c r="B4052" s="3" t="s">
        <v>3571</v>
      </c>
      <c r="C4052" s="3" t="s">
        <v>3572</v>
      </c>
      <c r="D4052" s="4" t="str">
        <f>HYPERLINK("https://12go.asia/en/travel/hong-kong/kuala-lumpur-sentral", "12Go Link")</f>
        <v>12Go Link</v>
      </c>
      <c r="E4052" s="3" t="s">
        <v>3568</v>
      </c>
      <c r="K4052" s="5"/>
    </row>
    <row r="4053">
      <c r="A4053" s="3" t="s">
        <v>1410</v>
      </c>
      <c r="B4053" s="3" t="s">
        <v>3573</v>
      </c>
      <c r="C4053" s="3" t="s">
        <v>3574</v>
      </c>
      <c r="D4053" s="4" t="str">
        <f>HYPERLINK("https://12go.asia/en/travel/hong-kong/putrajaya", "12Go Link")</f>
        <v>12Go Link</v>
      </c>
      <c r="E4053" s="3" t="s">
        <v>3568</v>
      </c>
      <c r="K4053" s="5"/>
    </row>
    <row r="4054">
      <c r="A4054" s="3" t="s">
        <v>1410</v>
      </c>
      <c r="B4054" s="3" t="s">
        <v>3575</v>
      </c>
      <c r="C4054" s="3" t="s">
        <v>3576</v>
      </c>
      <c r="D4054" s="4" t="str">
        <f>HYPERLINK("https://12go.asia/en/travel/hong-kong/seremban", "12Go Link")</f>
        <v>12Go Link</v>
      </c>
      <c r="E4054" s="3" t="s">
        <v>3568</v>
      </c>
      <c r="K4054" s="5"/>
    </row>
    <row r="4055">
      <c r="A4055" s="3" t="s">
        <v>1412</v>
      </c>
      <c r="B4055" s="3" t="s">
        <v>1273</v>
      </c>
      <c r="C4055" s="3" t="s">
        <v>3577</v>
      </c>
      <c r="D4055" s="4" t="str">
        <f>HYPERLINK("https://12go.asia/en/travel/kowloon/chenzhou", "12Go Link")</f>
        <v>12Go Link</v>
      </c>
      <c r="E4055" s="3" t="s">
        <v>94</v>
      </c>
      <c r="K4055" s="5"/>
    </row>
    <row r="4056">
      <c r="A4056" s="3" t="s">
        <v>3578</v>
      </c>
      <c r="B4056" s="3" t="s">
        <v>3579</v>
      </c>
      <c r="C4056" s="3" t="s">
        <v>3580</v>
      </c>
      <c r="D4056" s="4" t="str">
        <f>HYPERLINK("https://12go.asia/en/travel/abhaneri/alwar", "12Go Link")</f>
        <v>12Go Link</v>
      </c>
      <c r="E4056" s="3" t="s">
        <v>94</v>
      </c>
      <c r="K4056" s="5"/>
    </row>
    <row r="4057">
      <c r="A4057" s="3" t="s">
        <v>3581</v>
      </c>
      <c r="B4057" s="3" t="s">
        <v>3582</v>
      </c>
      <c r="C4057" s="3" t="s">
        <v>3583</v>
      </c>
      <c r="D4057" s="4" t="str">
        <f>HYPERLINK("https://12go.asia/en/travel/adoni/tirupati", "12Go Link")</f>
        <v>12Go Link</v>
      </c>
      <c r="E4057" s="3" t="s">
        <v>94</v>
      </c>
      <c r="K4057" s="5"/>
    </row>
    <row r="4058">
      <c r="A4058" s="3" t="s">
        <v>3584</v>
      </c>
      <c r="B4058" s="3" t="s">
        <v>3585</v>
      </c>
      <c r="C4058" s="3" t="s">
        <v>3586</v>
      </c>
      <c r="D4058" s="4" t="str">
        <f>HYPERLINK("https://12go.asia/en/travel/agartala/bongaigaon", "12Go Link")</f>
        <v>12Go Link</v>
      </c>
      <c r="E4058" s="3" t="s">
        <v>94</v>
      </c>
      <c r="K4058" s="5"/>
    </row>
    <row r="4059">
      <c r="A4059" s="3" t="s">
        <v>3584</v>
      </c>
      <c r="B4059" s="3" t="s">
        <v>3587</v>
      </c>
      <c r="C4059" s="3" t="s">
        <v>3588</v>
      </c>
      <c r="D4059" s="4" t="str">
        <f>HYPERLINK("https://12go.asia/en/travel/agartala/karimganj", "12Go Link")</f>
        <v>12Go Link</v>
      </c>
      <c r="E4059" s="3" t="s">
        <v>94</v>
      </c>
      <c r="K4059" s="5"/>
    </row>
    <row r="4060">
      <c r="A4060" s="3" t="s">
        <v>3584</v>
      </c>
      <c r="B4060" s="3" t="s">
        <v>3587</v>
      </c>
      <c r="C4060" s="3" t="s">
        <v>3589</v>
      </c>
      <c r="D4060" s="4" t="str">
        <f>HYPERLINK("https://12go.asia/en/travel/agartala/karimganj-junction", "12Go Link")</f>
        <v>12Go Link</v>
      </c>
      <c r="E4060" s="3" t="s">
        <v>94</v>
      </c>
      <c r="K4060" s="5"/>
    </row>
    <row r="4061">
      <c r="A4061" s="3" t="s">
        <v>3584</v>
      </c>
      <c r="B4061" s="3" t="s">
        <v>3587</v>
      </c>
      <c r="C4061" s="3" t="s">
        <v>3590</v>
      </c>
      <c r="D4061" s="4" t="str">
        <f>HYPERLINK("https://12go.asia/en/travel/agartala/new-karimganj", "12Go Link")</f>
        <v>12Go Link</v>
      </c>
      <c r="E4061" s="3" t="s">
        <v>94</v>
      </c>
      <c r="K4061" s="5"/>
    </row>
    <row r="4062">
      <c r="A4062" s="3" t="s">
        <v>3584</v>
      </c>
      <c r="B4062" s="3" t="s">
        <v>3591</v>
      </c>
      <c r="C4062" s="3" t="s">
        <v>3592</v>
      </c>
      <c r="D4062" s="4" t="str">
        <f>HYPERLINK("https://12go.asia/en/travel/agartala/new-bongaigaon", "12Go Link")</f>
        <v>12Go Link</v>
      </c>
      <c r="E4062" s="3" t="s">
        <v>94</v>
      </c>
      <c r="K4062" s="5"/>
    </row>
    <row r="4063">
      <c r="A4063" s="3" t="s">
        <v>3584</v>
      </c>
      <c r="B4063" s="3" t="s">
        <v>3593</v>
      </c>
      <c r="C4063" s="3" t="s">
        <v>3594</v>
      </c>
      <c r="D4063" s="4" t="str">
        <f>HYPERLINK("https://12go.asia/en/travel/agartala/rampur-hat", "12Go Link")</f>
        <v>12Go Link</v>
      </c>
      <c r="E4063" s="3" t="s">
        <v>94</v>
      </c>
      <c r="K4063" s="5"/>
    </row>
    <row r="4064">
      <c r="A4064" s="3" t="s">
        <v>3584</v>
      </c>
      <c r="B4064" s="3" t="s">
        <v>3595</v>
      </c>
      <c r="C4064" s="3" t="s">
        <v>3596</v>
      </c>
      <c r="D4064" s="4" t="str">
        <f>HYPERLINK("https://12go.asia/en/travel/agartala/kumarghat", "12Go Link")</f>
        <v>12Go Link</v>
      </c>
      <c r="E4064" s="3" t="s">
        <v>94</v>
      </c>
      <c r="K4064" s="5"/>
    </row>
    <row r="4065">
      <c r="A4065" s="3" t="s">
        <v>3584</v>
      </c>
      <c r="B4065" s="3" t="s">
        <v>3595</v>
      </c>
      <c r="C4065" s="3" t="s">
        <v>3597</v>
      </c>
      <c r="D4065" s="4" t="str">
        <f>HYPERLINK("https://12go.asia/en/travel/agartala/tripura", "12Go Link")</f>
        <v>12Go Link</v>
      </c>
      <c r="E4065" s="3" t="s">
        <v>94</v>
      </c>
      <c r="K4065" s="5"/>
    </row>
    <row r="4066">
      <c r="A4066" s="3" t="s">
        <v>3598</v>
      </c>
      <c r="B4066" s="3" t="s">
        <v>3599</v>
      </c>
      <c r="C4066" s="3" t="s">
        <v>3600</v>
      </c>
      <c r="D4066" s="4" t="str">
        <f>HYPERLINK("https://12go.asia/en/travel/agra-cantt/kopargaon", "12Go Link")</f>
        <v>12Go Link</v>
      </c>
      <c r="E4066" s="3" t="s">
        <v>94</v>
      </c>
      <c r="K4066" s="5"/>
    </row>
    <row r="4067">
      <c r="A4067" s="3" t="s">
        <v>3598</v>
      </c>
      <c r="B4067" s="3" t="s">
        <v>3599</v>
      </c>
      <c r="C4067" s="3" t="s">
        <v>3601</v>
      </c>
      <c r="D4067" s="4" t="str">
        <f>HYPERLINK("https://12go.asia/en/travel/agra/kopargaon", "12Go Link")</f>
        <v>12Go Link</v>
      </c>
      <c r="E4067" s="3" t="s">
        <v>94</v>
      </c>
      <c r="K4067" s="5"/>
    </row>
    <row r="4068">
      <c r="A4068" s="3" t="s">
        <v>3598</v>
      </c>
      <c r="B4068" s="3" t="s">
        <v>165</v>
      </c>
      <c r="C4068" s="3" t="s">
        <v>3602</v>
      </c>
      <c r="D4068" s="4" t="str">
        <f>HYPERLINK("https://12go.asia/en/travel/agra/margao", "12Go Link")</f>
        <v>12Go Link</v>
      </c>
      <c r="E4068" s="3" t="s">
        <v>94</v>
      </c>
      <c r="K4068" s="5"/>
    </row>
    <row r="4069">
      <c r="A4069" s="3" t="s">
        <v>3598</v>
      </c>
      <c r="B4069" s="3" t="s">
        <v>3603</v>
      </c>
      <c r="C4069" s="3" t="s">
        <v>3604</v>
      </c>
      <c r="D4069" s="4" t="str">
        <f>HYPERLINK("https://12go.asia/en/travel/agra/ramgarh-cantonment", "12Go Link")</f>
        <v>12Go Link</v>
      </c>
      <c r="E4069" s="3" t="s">
        <v>94</v>
      </c>
      <c r="K4069" s="5"/>
    </row>
    <row r="4070">
      <c r="A4070" s="3" t="s">
        <v>3598</v>
      </c>
      <c r="B4070" s="3" t="s">
        <v>3605</v>
      </c>
      <c r="C4070" s="3" t="s">
        <v>3606</v>
      </c>
      <c r="D4070" s="4" t="str">
        <f>HYPERLINK("https://12go.asia/en/travel/agra-cantt/sonipat", "12Go Link")</f>
        <v>12Go Link</v>
      </c>
      <c r="E4070" s="3" t="s">
        <v>94</v>
      </c>
      <c r="K4070" s="5"/>
    </row>
    <row r="4071">
      <c r="A4071" s="3" t="s">
        <v>3598</v>
      </c>
      <c r="B4071" s="3" t="s">
        <v>3607</v>
      </c>
      <c r="C4071" s="3" t="s">
        <v>3608</v>
      </c>
      <c r="D4071" s="4" t="str">
        <f>HYPERLINK("https://12go.asia/en/travel/agra-cantt/umaria", "12Go Link")</f>
        <v>12Go Link</v>
      </c>
      <c r="E4071" s="3" t="s">
        <v>94</v>
      </c>
      <c r="K4071" s="5"/>
    </row>
    <row r="4072">
      <c r="A4072" s="3" t="s">
        <v>3598</v>
      </c>
      <c r="B4072" s="3" t="s">
        <v>3607</v>
      </c>
      <c r="C4072" s="3" t="s">
        <v>3609</v>
      </c>
      <c r="D4072" s="4" t="str">
        <f>HYPERLINK("https://12go.asia/en/travel/agra/umaria", "12Go Link")</f>
        <v>12Go Link</v>
      </c>
      <c r="E4072" s="3" t="s">
        <v>94</v>
      </c>
      <c r="K4072" s="5"/>
    </row>
    <row r="4073">
      <c r="A4073" s="3" t="s">
        <v>3610</v>
      </c>
      <c r="B4073" s="3" t="s">
        <v>3611</v>
      </c>
      <c r="C4073" s="3" t="s">
        <v>3612</v>
      </c>
      <c r="D4073" s="4" t="str">
        <f>HYPERLINK("https://12go.asia/en/travel/ahmadnagar/jalgaon", "12Go Link")</f>
        <v>12Go Link</v>
      </c>
      <c r="E4073" s="3" t="s">
        <v>94</v>
      </c>
      <c r="K4073" s="5"/>
    </row>
    <row r="4074">
      <c r="A4074" s="3" t="s">
        <v>3610</v>
      </c>
      <c r="B4074" s="3" t="s">
        <v>3611</v>
      </c>
      <c r="C4074" s="3" t="s">
        <v>3613</v>
      </c>
      <c r="D4074" s="4" t="str">
        <f>HYPERLINK("https://12go.asia/en/travel/ahmadnagar/jalgaon-jn", "12Go Link")</f>
        <v>12Go Link</v>
      </c>
      <c r="E4074" s="3" t="s">
        <v>94</v>
      </c>
      <c r="K4074" s="5"/>
    </row>
    <row r="4075">
      <c r="A4075" s="3" t="s">
        <v>149</v>
      </c>
      <c r="B4075" s="3" t="s">
        <v>3578</v>
      </c>
      <c r="C4075" s="3" t="s">
        <v>3614</v>
      </c>
      <c r="D4075" s="4" t="str">
        <f>HYPERLINK("https://12go.asia/en/travel/ahmedabad/abhaneri", "12Go Link")</f>
        <v>12Go Link</v>
      </c>
      <c r="E4075" s="3" t="s">
        <v>94</v>
      </c>
      <c r="K4075" s="5"/>
    </row>
    <row r="4076">
      <c r="A4076" s="3" t="s">
        <v>149</v>
      </c>
      <c r="B4076" s="3" t="s">
        <v>3615</v>
      </c>
      <c r="C4076" s="3" t="s">
        <v>3616</v>
      </c>
      <c r="D4076" s="4" t="str">
        <f>HYPERLINK("https://12go.asia/en/travel/ahmedabad-jn/akola-junction", "12Go Link")</f>
        <v>12Go Link</v>
      </c>
      <c r="E4076" s="3" t="s">
        <v>94</v>
      </c>
      <c r="K4076" s="5"/>
    </row>
    <row r="4077">
      <c r="A4077" s="3" t="s">
        <v>149</v>
      </c>
      <c r="B4077" s="3" t="s">
        <v>3617</v>
      </c>
      <c r="C4077" s="3" t="s">
        <v>3618</v>
      </c>
      <c r="D4077" s="4" t="str">
        <f>HYPERLINK("https://12go.asia/en/travel/ahmedabad-jn/badnera-junction", "12Go Link")</f>
        <v>12Go Link</v>
      </c>
      <c r="E4077" s="3" t="s">
        <v>94</v>
      </c>
      <c r="K4077" s="5"/>
    </row>
    <row r="4078">
      <c r="A4078" s="3" t="s">
        <v>149</v>
      </c>
      <c r="B4078" s="3" t="s">
        <v>3619</v>
      </c>
      <c r="C4078" s="3" t="s">
        <v>3620</v>
      </c>
      <c r="D4078" s="4" t="str">
        <f>HYPERLINK("https://12go.asia/en/travel/ahmedabad-jn/bandikui-junction", "12Go Link")</f>
        <v>12Go Link</v>
      </c>
      <c r="E4078" s="3" t="s">
        <v>94</v>
      </c>
      <c r="K4078" s="5"/>
    </row>
    <row r="4079">
      <c r="A4079" s="3" t="s">
        <v>149</v>
      </c>
      <c r="B4079" s="3" t="s">
        <v>3619</v>
      </c>
      <c r="C4079" s="3" t="s">
        <v>3621</v>
      </c>
      <c r="D4079" s="4" t="str">
        <f>HYPERLINK("https://12go.asia/en/travel/ahmedabad/bandikui", "12Go Link")</f>
        <v>12Go Link</v>
      </c>
      <c r="E4079" s="3" t="s">
        <v>94</v>
      </c>
      <c r="K4079" s="5"/>
    </row>
    <row r="4080">
      <c r="A4080" s="3" t="s">
        <v>149</v>
      </c>
      <c r="B4080" s="3" t="s">
        <v>3622</v>
      </c>
      <c r="C4080" s="3" t="s">
        <v>3623</v>
      </c>
      <c r="D4080" s="4" t="str">
        <f>HYPERLINK("https://12go.asia/en/travel/ahmedabad-jn/karwar", "12Go Link")</f>
        <v>12Go Link</v>
      </c>
      <c r="E4080" s="3" t="s">
        <v>94</v>
      </c>
      <c r="K4080" s="5"/>
    </row>
    <row r="4081">
      <c r="A4081" s="3" t="s">
        <v>149</v>
      </c>
      <c r="B4081" s="3" t="s">
        <v>3622</v>
      </c>
      <c r="C4081" s="3" t="s">
        <v>3624</v>
      </c>
      <c r="D4081" s="4" t="str">
        <f>HYPERLINK("https://12go.asia/en/travel/ahmedabad/karwar", "12Go Link")</f>
        <v>12Go Link</v>
      </c>
      <c r="E4081" s="3" t="s">
        <v>94</v>
      </c>
      <c r="K4081" s="5"/>
    </row>
    <row r="4082">
      <c r="A4082" s="3" t="s">
        <v>149</v>
      </c>
      <c r="B4082" s="3" t="s">
        <v>3625</v>
      </c>
      <c r="C4082" s="3" t="s">
        <v>3626</v>
      </c>
      <c r="D4082" s="4" t="str">
        <f>HYPERLINK("https://12go.asia/en/travel/ahmedabad/manipal", "12Go Link")</f>
        <v>12Go Link</v>
      </c>
      <c r="E4082" s="3" t="s">
        <v>94</v>
      </c>
      <c r="K4082" s="5"/>
    </row>
    <row r="4083">
      <c r="A4083" s="3" t="s">
        <v>149</v>
      </c>
      <c r="B4083" s="3" t="s">
        <v>3627</v>
      </c>
      <c r="C4083" s="3" t="s">
        <v>3628</v>
      </c>
      <c r="D4083" s="4" t="str">
        <f>HYPERLINK("https://12go.asia/en/travel/ahmedabad-jn/nagda-junction", "12Go Link")</f>
        <v>12Go Link</v>
      </c>
      <c r="E4083" s="3" t="s">
        <v>94</v>
      </c>
      <c r="K4083" s="5"/>
    </row>
    <row r="4084">
      <c r="A4084" s="3" t="s">
        <v>149</v>
      </c>
      <c r="B4084" s="3" t="s">
        <v>3627</v>
      </c>
      <c r="C4084" s="3" t="s">
        <v>3629</v>
      </c>
      <c r="D4084" s="4" t="str">
        <f>HYPERLINK("https://12go.asia/en/travel/ahmedabad/nagda", "12Go Link")</f>
        <v>12Go Link</v>
      </c>
      <c r="E4084" s="3" t="s">
        <v>94</v>
      </c>
      <c r="K4084" s="5"/>
    </row>
    <row r="4085">
      <c r="A4085" s="3" t="s">
        <v>149</v>
      </c>
      <c r="B4085" s="3" t="s">
        <v>3627</v>
      </c>
      <c r="C4085" s="3" t="s">
        <v>3630</v>
      </c>
      <c r="D4085" s="4" t="str">
        <f>HYPERLINK("https://12go.asia/en/travel/asarva/nagda-junction", "12Go Link")</f>
        <v>12Go Link</v>
      </c>
      <c r="E4085" s="3" t="s">
        <v>94</v>
      </c>
      <c r="K4085" s="5"/>
    </row>
    <row r="4086">
      <c r="A4086" s="3" t="s">
        <v>149</v>
      </c>
      <c r="B4086" s="3" t="s">
        <v>3631</v>
      </c>
      <c r="C4086" s="3" t="s">
        <v>3632</v>
      </c>
      <c r="D4086" s="4" t="str">
        <f>HYPERLINK("https://12go.asia/en/travel/ahmedabad-jn/orai", "12Go Link")</f>
        <v>12Go Link</v>
      </c>
      <c r="E4086" s="3" t="s">
        <v>94</v>
      </c>
      <c r="K4086" s="5"/>
    </row>
    <row r="4087">
      <c r="A4087" s="3" t="s">
        <v>149</v>
      </c>
      <c r="B4087" s="3" t="s">
        <v>3633</v>
      </c>
      <c r="C4087" s="3" t="s">
        <v>3634</v>
      </c>
      <c r="D4087" s="4" t="str">
        <f>HYPERLINK("https://12go.asia/en/travel/ahmedabad-jn/sadulpur-junction", "12Go Link")</f>
        <v>12Go Link</v>
      </c>
      <c r="E4087" s="3" t="s">
        <v>94</v>
      </c>
      <c r="K4087" s="5"/>
    </row>
    <row r="4088">
      <c r="A4088" s="3" t="s">
        <v>149</v>
      </c>
      <c r="B4088" s="3" t="s">
        <v>3635</v>
      </c>
      <c r="C4088" s="3" t="s">
        <v>3636</v>
      </c>
      <c r="D4088" s="4" t="str">
        <f>HYPERLINK("https://12go.asia/en/travel/ahmedabad-jn/sabarmati-junction-sbt", "12Go Link")</f>
        <v>12Go Link</v>
      </c>
      <c r="E4088" s="3" t="s">
        <v>94</v>
      </c>
      <c r="K4088" s="5"/>
    </row>
    <row r="4089">
      <c r="A4089" s="3" t="s">
        <v>149</v>
      </c>
      <c r="B4089" s="3" t="s">
        <v>189</v>
      </c>
      <c r="C4089" s="3" t="s">
        <v>3637</v>
      </c>
      <c r="D4089" s="4" t="str">
        <f>HYPERLINK("https://12go.asia/en/travel/ahmedabad/vrindavan", "12Go Link")</f>
        <v>12Go Link</v>
      </c>
      <c r="E4089" s="3" t="s">
        <v>94</v>
      </c>
      <c r="K4089" s="5"/>
    </row>
    <row r="4090">
      <c r="A4090" s="3" t="s">
        <v>3615</v>
      </c>
      <c r="B4090" s="3" t="s">
        <v>3638</v>
      </c>
      <c r="C4090" s="3" t="s">
        <v>3639</v>
      </c>
      <c r="D4090" s="4" t="str">
        <f>HYPERLINK("https://12go.asia/en/travel/akola-junction/hyderabad-decan", "12Go Link")</f>
        <v>12Go Link</v>
      </c>
      <c r="E4090" s="3" t="s">
        <v>94</v>
      </c>
      <c r="K4090" s="5"/>
    </row>
    <row r="4091">
      <c r="A4091" s="3" t="s">
        <v>3615</v>
      </c>
      <c r="B4091" s="3" t="s">
        <v>3638</v>
      </c>
      <c r="C4091" s="3" t="s">
        <v>3640</v>
      </c>
      <c r="D4091" s="4" t="str">
        <f>HYPERLINK("https://12go.asia/en/travel/akola-junction/kacheguda", "12Go Link")</f>
        <v>12Go Link</v>
      </c>
      <c r="E4091" s="3" t="s">
        <v>94</v>
      </c>
      <c r="K4091" s="5"/>
    </row>
    <row r="4092">
      <c r="A4092" s="3" t="s">
        <v>3615</v>
      </c>
      <c r="B4092" s="3" t="s">
        <v>3638</v>
      </c>
      <c r="C4092" s="3" t="s">
        <v>3641</v>
      </c>
      <c r="D4092" s="4" t="str">
        <f>HYPERLINK("https://12go.asia/en/travel/akola-junction/secunderabad", "12Go Link")</f>
        <v>12Go Link</v>
      </c>
      <c r="E4092" s="3" t="s">
        <v>94</v>
      </c>
      <c r="K4092" s="5"/>
    </row>
    <row r="4093">
      <c r="A4093" s="3" t="s">
        <v>3615</v>
      </c>
      <c r="B4093" s="3" t="s">
        <v>3638</v>
      </c>
      <c r="C4093" s="3" t="s">
        <v>3642</v>
      </c>
      <c r="D4093" s="4" t="str">
        <f>HYPERLINK("https://12go.asia/en/travel/akola/hyderabad", "12Go Link")</f>
        <v>12Go Link</v>
      </c>
      <c r="E4093" s="3" t="s">
        <v>94</v>
      </c>
      <c r="K4093" s="5"/>
    </row>
    <row r="4094">
      <c r="A4094" s="3" t="s">
        <v>3643</v>
      </c>
      <c r="B4094" s="3" t="s">
        <v>3644</v>
      </c>
      <c r="C4094" s="3" t="s">
        <v>3645</v>
      </c>
      <c r="D4094" s="4" t="str">
        <f>HYPERLINK("https://12go.asia/en/travel/alappuzha/mangalore-jn", "12Go Link")</f>
        <v>12Go Link</v>
      </c>
      <c r="E4094" s="3" t="s">
        <v>94</v>
      </c>
      <c r="K4094" s="5"/>
    </row>
    <row r="4095">
      <c r="A4095" s="3" t="s">
        <v>3646</v>
      </c>
      <c r="B4095" s="3" t="s">
        <v>3647</v>
      </c>
      <c r="C4095" s="3" t="s">
        <v>3648</v>
      </c>
      <c r="D4095" s="4" t="str">
        <f>HYPERLINK("https://12go.asia/en/travel/aligarh-junction/sabzi-mandi", "12Go Link")</f>
        <v>12Go Link</v>
      </c>
      <c r="E4095" s="3" t="s">
        <v>94</v>
      </c>
      <c r="K4095" s="5"/>
    </row>
    <row r="4096">
      <c r="A4096" s="3" t="s">
        <v>3646</v>
      </c>
      <c r="B4096" s="3" t="s">
        <v>3649</v>
      </c>
      <c r="C4096" s="3" t="s">
        <v>3650</v>
      </c>
      <c r="D4096" s="4" t="str">
        <f>HYPERLINK("https://12go.asia/en/travel/aligarh-junction/ayodhya-cantt", "12Go Link")</f>
        <v>12Go Link</v>
      </c>
      <c r="E4096" s="3" t="s">
        <v>94</v>
      </c>
      <c r="K4096" s="5"/>
    </row>
    <row r="4097">
      <c r="A4097" s="3" t="s">
        <v>3646</v>
      </c>
      <c r="B4097" s="3" t="s">
        <v>3649</v>
      </c>
      <c r="C4097" s="3" t="s">
        <v>3651</v>
      </c>
      <c r="D4097" s="4" t="str">
        <f>HYPERLINK("https://12go.asia/en/travel/aligarh/faizabad", "12Go Link")</f>
        <v>12Go Link</v>
      </c>
      <c r="E4097" s="3" t="s">
        <v>94</v>
      </c>
      <c r="K4097" s="5"/>
    </row>
    <row r="4098">
      <c r="A4098" s="3" t="s">
        <v>3646</v>
      </c>
      <c r="B4098" s="3" t="s">
        <v>3652</v>
      </c>
      <c r="C4098" s="3" t="s">
        <v>3653</v>
      </c>
      <c r="D4098" s="4" t="str">
        <f>HYPERLINK("https://12go.asia/en/travel/aligarh-junction/firozabad", "12Go Link")</f>
        <v>12Go Link</v>
      </c>
      <c r="E4098" s="3" t="s">
        <v>94</v>
      </c>
      <c r="K4098" s="5"/>
    </row>
    <row r="4099">
      <c r="A4099" s="3" t="s">
        <v>3646</v>
      </c>
      <c r="B4099" s="3" t="s">
        <v>3652</v>
      </c>
      <c r="C4099" s="3" t="s">
        <v>3654</v>
      </c>
      <c r="D4099" s="4" t="str">
        <f>HYPERLINK("https://12go.asia/en/travel/aligarh/firozabad", "12Go Link")</f>
        <v>12Go Link</v>
      </c>
      <c r="E4099" s="3" t="s">
        <v>94</v>
      </c>
      <c r="K4099" s="5"/>
    </row>
    <row r="4100">
      <c r="A4100" s="3" t="s">
        <v>3646</v>
      </c>
      <c r="B4100" s="3" t="s">
        <v>3655</v>
      </c>
      <c r="C4100" s="3" t="s">
        <v>3656</v>
      </c>
      <c r="D4100" s="4" t="str">
        <f>HYPERLINK("https://12go.asia/en/travel/aligarh-junction/haridwar-jn", "12Go Link")</f>
        <v>12Go Link</v>
      </c>
      <c r="E4100" s="3" t="s">
        <v>94</v>
      </c>
      <c r="K4100" s="5"/>
    </row>
    <row r="4101">
      <c r="A4101" s="3" t="s">
        <v>3657</v>
      </c>
      <c r="B4101" s="3" t="s">
        <v>3658</v>
      </c>
      <c r="C4101" s="3" t="s">
        <v>3659</v>
      </c>
      <c r="D4101" s="4" t="str">
        <f>HYPERLINK("https://12go.asia/en/travel/aluva/nagercoil-jn", "12Go Link")</f>
        <v>12Go Link</v>
      </c>
      <c r="E4101" s="3" t="s">
        <v>94</v>
      </c>
      <c r="K4101" s="5"/>
    </row>
    <row r="4102">
      <c r="A4102" s="3" t="s">
        <v>3657</v>
      </c>
      <c r="B4102" s="3" t="s">
        <v>3658</v>
      </c>
      <c r="C4102" s="3" t="s">
        <v>3660</v>
      </c>
      <c r="D4102" s="4" t="str">
        <f>HYPERLINK("https://12go.asia/en/travel/aluva/nagercoil-town", "12Go Link")</f>
        <v>12Go Link</v>
      </c>
      <c r="E4102" s="3" t="s">
        <v>94</v>
      </c>
      <c r="K4102" s="5"/>
    </row>
    <row r="4103">
      <c r="A4103" s="3" t="s">
        <v>3579</v>
      </c>
      <c r="B4103" s="3" t="s">
        <v>180</v>
      </c>
      <c r="C4103" s="3" t="s">
        <v>3661</v>
      </c>
      <c r="D4103" s="4" t="str">
        <f>HYPERLINK("https://12go.asia/en/travel/alwar/surat", "12Go Link")</f>
        <v>12Go Link</v>
      </c>
      <c r="E4103" s="3" t="s">
        <v>94</v>
      </c>
      <c r="K4103" s="5"/>
    </row>
    <row r="4104">
      <c r="A4104" s="3" t="s">
        <v>3662</v>
      </c>
      <c r="B4104" s="3" t="s">
        <v>3663</v>
      </c>
      <c r="C4104" s="3" t="s">
        <v>3664</v>
      </c>
      <c r="D4104" s="4" t="str">
        <f>HYPERLINK("https://12go.asia/en/travel/ambaji/jammu", "12Go Link")</f>
        <v>12Go Link</v>
      </c>
      <c r="E4104" s="3" t="s">
        <v>94</v>
      </c>
      <c r="K4104" s="5"/>
    </row>
    <row r="4105">
      <c r="A4105" s="3" t="s">
        <v>3665</v>
      </c>
      <c r="B4105" s="3" t="s">
        <v>3666</v>
      </c>
      <c r="C4105" s="3" t="s">
        <v>3667</v>
      </c>
      <c r="D4105" s="4" t="str">
        <f>HYPERLINK("https://12go.asia/en/travel/ambala-city/varanasi-jn", "12Go Link")</f>
        <v>12Go Link</v>
      </c>
      <c r="E4105" s="3" t="s">
        <v>94</v>
      </c>
      <c r="K4105" s="5"/>
    </row>
    <row r="4106">
      <c r="A4106" s="3" t="s">
        <v>3668</v>
      </c>
      <c r="B4106" s="3" t="s">
        <v>3638</v>
      </c>
      <c r="C4106" s="3" t="s">
        <v>3669</v>
      </c>
      <c r="D4106" s="4" t="str">
        <f>HYPERLINK("https://12go.asia/en/travel/amravati/kacheguda", "12Go Link")</f>
        <v>12Go Link</v>
      </c>
      <c r="E4106" s="3" t="s">
        <v>94</v>
      </c>
      <c r="K4106" s="5"/>
    </row>
    <row r="4107">
      <c r="A4107" s="3" t="s">
        <v>3670</v>
      </c>
      <c r="B4107" s="3" t="s">
        <v>3671</v>
      </c>
      <c r="C4107" s="3" t="s">
        <v>3672</v>
      </c>
      <c r="D4107" s="4" t="str">
        <f>HYPERLINK("https://12go.asia/en/travel/amritsar-jn/meerut-city", "12Go Link")</f>
        <v>12Go Link</v>
      </c>
      <c r="E4107" s="3" t="s">
        <v>94</v>
      </c>
      <c r="K4107" s="5"/>
    </row>
    <row r="4108">
      <c r="A4108" s="3" t="s">
        <v>3670</v>
      </c>
      <c r="B4108" s="3" t="s">
        <v>3671</v>
      </c>
      <c r="C4108" s="3" t="s">
        <v>3673</v>
      </c>
      <c r="D4108" s="4" t="str">
        <f>HYPERLINK("https://12go.asia/en/travel/amritsar/meerut", "12Go Link")</f>
        <v>12Go Link</v>
      </c>
      <c r="E4108" s="3" t="s">
        <v>94</v>
      </c>
      <c r="K4108" s="5"/>
    </row>
    <row r="4109">
      <c r="A4109" s="3" t="s">
        <v>3674</v>
      </c>
      <c r="B4109" s="3" t="s">
        <v>3675</v>
      </c>
      <c r="C4109" s="3" t="s">
        <v>3676</v>
      </c>
      <c r="D4109" s="4" t="str">
        <f>HYPERLINK("https://12go.asia/en/travel/amroha/bareilly", "12Go Link")</f>
        <v>12Go Link</v>
      </c>
      <c r="E4109" s="3" t="s">
        <v>94</v>
      </c>
      <c r="K4109" s="5"/>
    </row>
    <row r="4110">
      <c r="A4110" s="3" t="s">
        <v>3677</v>
      </c>
      <c r="B4110" s="3" t="s">
        <v>3678</v>
      </c>
      <c r="C4110" s="3" t="s">
        <v>3679</v>
      </c>
      <c r="D4110" s="4" t="str">
        <f>HYPERLINK("https://12go.asia/en/travel/anakapalle/lingampalli", "12Go Link")</f>
        <v>12Go Link</v>
      </c>
      <c r="E4110" s="3" t="s">
        <v>94</v>
      </c>
      <c r="K4110" s="5"/>
    </row>
    <row r="4111">
      <c r="A4111" s="3" t="s">
        <v>3680</v>
      </c>
      <c r="B4111" s="3" t="s">
        <v>155</v>
      </c>
      <c r="C4111" s="3" t="s">
        <v>3681</v>
      </c>
      <c r="D4111" s="4" t="str">
        <f>HYPERLINK("https://12go.asia/en/travel/anand-gujarat/gujarat", "12Go Link")</f>
        <v>12Go Link</v>
      </c>
      <c r="E4111" s="3" t="s">
        <v>94</v>
      </c>
      <c r="K4111" s="5"/>
    </row>
    <row r="4112">
      <c r="A4112" s="3" t="s">
        <v>3680</v>
      </c>
      <c r="B4112" s="3" t="s">
        <v>3682</v>
      </c>
      <c r="C4112" s="3" t="s">
        <v>3683</v>
      </c>
      <c r="D4112" s="4" t="str">
        <f>HYPERLINK("https://12go.asia/en/travel/anand-gujarat/kalyan", "12Go Link")</f>
        <v>12Go Link</v>
      </c>
      <c r="E4112" s="3" t="s">
        <v>94</v>
      </c>
      <c r="K4112" s="5"/>
    </row>
    <row r="4113">
      <c r="A4113" s="3" t="s">
        <v>3680</v>
      </c>
      <c r="B4113" s="3" t="s">
        <v>3682</v>
      </c>
      <c r="C4113" s="3" t="s">
        <v>3684</v>
      </c>
      <c r="D4113" s="4" t="str">
        <f>HYPERLINK("https://12go.asia/en/travel/anand-jn/kalyan-jn", "12Go Link")</f>
        <v>12Go Link</v>
      </c>
      <c r="E4113" s="3" t="s">
        <v>94</v>
      </c>
      <c r="K4113" s="5"/>
    </row>
    <row r="4114">
      <c r="A4114" s="3" t="s">
        <v>3680</v>
      </c>
      <c r="B4114" s="3" t="s">
        <v>3666</v>
      </c>
      <c r="C4114" s="3" t="s">
        <v>3685</v>
      </c>
      <c r="D4114" s="4" t="str">
        <f>HYPERLINK("https://12go.asia/en/travel/anand-gujarat/varanasi", "12Go Link")</f>
        <v>12Go Link</v>
      </c>
      <c r="E4114" s="3" t="s">
        <v>94</v>
      </c>
      <c r="K4114" s="5"/>
    </row>
    <row r="4115">
      <c r="A4115" s="3" t="s">
        <v>3686</v>
      </c>
      <c r="B4115" s="3" t="s">
        <v>148</v>
      </c>
      <c r="C4115" s="3" t="s">
        <v>3687</v>
      </c>
      <c r="D4115" s="4" t="str">
        <f>HYPERLINK("https://12go.asia/en/travel/anantapur/broadmeadow", "12Go Link")</f>
        <v>12Go Link</v>
      </c>
      <c r="E4115" s="3" t="s">
        <v>94</v>
      </c>
      <c r="K4115" s="5"/>
    </row>
    <row r="4116">
      <c r="A4116" s="3" t="s">
        <v>3686</v>
      </c>
      <c r="B4116" s="3" t="s">
        <v>148</v>
      </c>
      <c r="C4116" s="3" t="s">
        <v>3688</v>
      </c>
      <c r="D4116" s="4" t="str">
        <f>HYPERLINK("https://12go.asia/en/travel/anantapur/newcastle-new-south-wales", "12Go Link")</f>
        <v>12Go Link</v>
      </c>
      <c r="E4116" s="3" t="s">
        <v>94</v>
      </c>
      <c r="K4116" s="5"/>
    </row>
    <row r="4117">
      <c r="A4117" s="3" t="s">
        <v>3686</v>
      </c>
      <c r="B4117" s="3" t="s">
        <v>163</v>
      </c>
      <c r="C4117" s="3" t="s">
        <v>3689</v>
      </c>
      <c r="D4117" s="4" t="str">
        <f>HYPERLINK("https://12go.asia/en/travel/anantapur/maharashtra", "12Go Link")</f>
        <v>12Go Link</v>
      </c>
      <c r="E4117" s="3" t="s">
        <v>94</v>
      </c>
      <c r="K4117" s="5"/>
    </row>
    <row r="4118">
      <c r="A4118" s="3" t="s">
        <v>3686</v>
      </c>
      <c r="B4118" s="3" t="s">
        <v>3690</v>
      </c>
      <c r="C4118" s="3" t="s">
        <v>3691</v>
      </c>
      <c r="D4118" s="4" t="str">
        <f>HYPERLINK("https://12go.asia/en/travel/anantapur/lokmanya-tilak-term", "12Go Link")</f>
        <v>12Go Link</v>
      </c>
      <c r="E4118" s="3" t="s">
        <v>94</v>
      </c>
      <c r="K4118" s="5"/>
    </row>
    <row r="4119">
      <c r="A4119" s="3" t="s">
        <v>3686</v>
      </c>
      <c r="B4119" s="3" t="s">
        <v>3690</v>
      </c>
      <c r="C4119" s="3" t="s">
        <v>3692</v>
      </c>
      <c r="D4119" s="4" t="str">
        <f>HYPERLINK("https://12go.asia/en/travel/anantapur/mumbai", "12Go Link")</f>
        <v>12Go Link</v>
      </c>
      <c r="E4119" s="3" t="s">
        <v>94</v>
      </c>
      <c r="K4119" s="5"/>
    </row>
    <row r="4120">
      <c r="A4120" s="3" t="s">
        <v>3686</v>
      </c>
      <c r="B4120" s="3" t="s">
        <v>3690</v>
      </c>
      <c r="C4120" s="3" t="s">
        <v>3693</v>
      </c>
      <c r="D4120" s="4" t="str">
        <f>HYPERLINK("https://12go.asia/en/travel/anantapur/mumbai-cst", "12Go Link")</f>
        <v>12Go Link</v>
      </c>
      <c r="E4120" s="3" t="s">
        <v>94</v>
      </c>
      <c r="K4120" s="5"/>
    </row>
    <row r="4121">
      <c r="A4121" s="3" t="s">
        <v>3686</v>
      </c>
      <c r="B4121" s="3" t="s">
        <v>3694</v>
      </c>
      <c r="C4121" s="3" t="s">
        <v>3695</v>
      </c>
      <c r="D4121" s="4" t="str">
        <f>HYPERLINK("https://12go.asia/en/travel/anantapur/tiruchirapalli", "12Go Link")</f>
        <v>12Go Link</v>
      </c>
      <c r="E4121" s="3" t="s">
        <v>8</v>
      </c>
      <c r="K4121" s="5"/>
    </row>
    <row r="4122">
      <c r="A4122" s="3" t="s">
        <v>3686</v>
      </c>
      <c r="B4122" s="3" t="s">
        <v>3694</v>
      </c>
      <c r="C4122" s="3" t="s">
        <v>3696</v>
      </c>
      <c r="D4122" s="4" t="str">
        <f>HYPERLINK("https://12go.asia/en/travel/anantapur/tiruchirappalli", "12Go Link")</f>
        <v>12Go Link</v>
      </c>
      <c r="E4122" s="3" t="s">
        <v>8</v>
      </c>
      <c r="K4122" s="5"/>
    </row>
    <row r="4123">
      <c r="A4123" s="3" t="s">
        <v>3697</v>
      </c>
      <c r="B4123" s="3" t="s">
        <v>3582</v>
      </c>
      <c r="C4123" s="3" t="s">
        <v>3698</v>
      </c>
      <c r="D4123" s="4" t="str">
        <f>HYPERLINK("https://12go.asia/en/travel/anaparthi/tirupati", "12Go Link")</f>
        <v>12Go Link</v>
      </c>
      <c r="E4123" s="3" t="s">
        <v>94</v>
      </c>
      <c r="K4123" s="5"/>
    </row>
    <row r="4124">
      <c r="A4124" s="3" t="s">
        <v>3697</v>
      </c>
      <c r="B4124" s="3" t="s">
        <v>3582</v>
      </c>
      <c r="C4124" s="3" t="s">
        <v>3699</v>
      </c>
      <c r="D4124" s="4" t="str">
        <f>HYPERLINK("https://12go.asia/en/travel/anaparti/tirupati", "12Go Link")</f>
        <v>12Go Link</v>
      </c>
      <c r="E4124" s="3" t="s">
        <v>94</v>
      </c>
      <c r="K4124" s="5"/>
    </row>
    <row r="4125">
      <c r="A4125" s="3" t="s">
        <v>3700</v>
      </c>
      <c r="B4125" s="3" t="s">
        <v>3701</v>
      </c>
      <c r="C4125" s="3" t="s">
        <v>3702</v>
      </c>
      <c r="D4125" s="4" t="str">
        <f>HYPERLINK("https://12go.asia/en/travel/andal-junction/howrah", "12Go Link")</f>
        <v>12Go Link</v>
      </c>
      <c r="E4125" s="3" t="s">
        <v>94</v>
      </c>
      <c r="K4125" s="5"/>
    </row>
    <row r="4126">
      <c r="A4126" s="3" t="s">
        <v>3700</v>
      </c>
      <c r="B4126" s="3" t="s">
        <v>3701</v>
      </c>
      <c r="C4126" s="3" t="s">
        <v>3703</v>
      </c>
      <c r="D4126" s="4" t="str">
        <f>HYPERLINK("https://12go.asia/en/travel/andal/howrah", "12Go Link")</f>
        <v>12Go Link</v>
      </c>
      <c r="E4126" s="3" t="s">
        <v>94</v>
      </c>
      <c r="K4126" s="5"/>
    </row>
    <row r="4127">
      <c r="A4127" s="3" t="s">
        <v>3700</v>
      </c>
      <c r="B4127" s="3" t="s">
        <v>3704</v>
      </c>
      <c r="C4127" s="3" t="s">
        <v>3705</v>
      </c>
      <c r="D4127" s="4" t="str">
        <f>HYPERLINK("https://12go.asia/en/travel/andal-junction/kolkata", "12Go Link")</f>
        <v>12Go Link</v>
      </c>
      <c r="E4127" s="3" t="s">
        <v>94</v>
      </c>
      <c r="K4127" s="5"/>
    </row>
    <row r="4128">
      <c r="A4128" s="3" t="s">
        <v>3700</v>
      </c>
      <c r="B4128" s="3" t="s">
        <v>3704</v>
      </c>
      <c r="C4128" s="3" t="s">
        <v>3706</v>
      </c>
      <c r="D4128" s="4" t="str">
        <f>HYPERLINK("https://12go.asia/en/travel/andal-junction/sealdah", "12Go Link")</f>
        <v>12Go Link</v>
      </c>
      <c r="E4128" s="3" t="s">
        <v>94</v>
      </c>
      <c r="K4128" s="5"/>
    </row>
    <row r="4129">
      <c r="A4129" s="3" t="s">
        <v>3700</v>
      </c>
      <c r="B4129" s="3" t="s">
        <v>3704</v>
      </c>
      <c r="C4129" s="3" t="s">
        <v>3707</v>
      </c>
      <c r="D4129" s="4" t="str">
        <f>HYPERLINK("https://12go.asia/en/travel/andal/kolkata", "12Go Link")</f>
        <v>12Go Link</v>
      </c>
      <c r="E4129" s="3" t="s">
        <v>94</v>
      </c>
      <c r="K4129" s="5"/>
    </row>
    <row r="4130">
      <c r="A4130" s="3" t="s">
        <v>3700</v>
      </c>
      <c r="B4130" s="3" t="s">
        <v>3708</v>
      </c>
      <c r="C4130" s="3" t="s">
        <v>3709</v>
      </c>
      <c r="D4130" s="4" t="str">
        <f>HYPERLINK("https://12go.asia/en/travel/andal/west-bengal", "12Go Link")</f>
        <v>12Go Link</v>
      </c>
      <c r="E4130" s="3" t="s">
        <v>94</v>
      </c>
      <c r="K4130" s="5"/>
    </row>
    <row r="4131">
      <c r="A4131" s="3" t="s">
        <v>3710</v>
      </c>
      <c r="B4131" s="3" t="s">
        <v>3657</v>
      </c>
      <c r="C4131" s="3" t="s">
        <v>3711</v>
      </c>
      <c r="D4131" s="4" t="str">
        <f>HYPERLINK("https://12go.asia/en/travel/andhra-pradesh/aluva", "12Go Link")</f>
        <v>12Go Link</v>
      </c>
      <c r="E4131" s="3" t="s">
        <v>94</v>
      </c>
      <c r="K4131" s="5"/>
    </row>
    <row r="4132">
      <c r="A4132" s="3" t="s">
        <v>3710</v>
      </c>
      <c r="B4132" s="3" t="s">
        <v>3712</v>
      </c>
      <c r="C4132" s="3" t="s">
        <v>3713</v>
      </c>
      <c r="D4132" s="4" t="str">
        <f>HYPERLINK("https://12go.asia/en/travel/andhra-pradesh/amadalavalasa", "12Go Link")</f>
        <v>12Go Link</v>
      </c>
      <c r="E4132" s="3" t="s">
        <v>94</v>
      </c>
      <c r="K4132" s="5"/>
    </row>
    <row r="4133">
      <c r="A4133" s="3" t="s">
        <v>3710</v>
      </c>
      <c r="B4133" s="3" t="s">
        <v>3686</v>
      </c>
      <c r="C4133" s="3" t="s">
        <v>3714</v>
      </c>
      <c r="D4133" s="4" t="str">
        <f>HYPERLINK("https://12go.asia/en/travel/andhra-pradesh/anantapur", "12Go Link")</f>
        <v>12Go Link</v>
      </c>
      <c r="E4133" s="3" t="s">
        <v>8</v>
      </c>
      <c r="K4133" s="5"/>
    </row>
    <row r="4134">
      <c r="A4134" s="3" t="s">
        <v>3710</v>
      </c>
      <c r="B4134" s="3" t="s">
        <v>3715</v>
      </c>
      <c r="C4134" s="3" t="s">
        <v>3716</v>
      </c>
      <c r="D4134" s="4" t="str">
        <f>HYPERLINK("https://12go.asia/en/travel/chirala/chennai-central", "12Go Link")</f>
        <v>12Go Link</v>
      </c>
      <c r="E4134" s="3" t="s">
        <v>94</v>
      </c>
      <c r="K4134" s="5"/>
    </row>
    <row r="4135">
      <c r="A4135" s="3" t="s">
        <v>3710</v>
      </c>
      <c r="B4135" s="3" t="s">
        <v>3717</v>
      </c>
      <c r="C4135" s="3" t="s">
        <v>3718</v>
      </c>
      <c r="D4135" s="4" t="str">
        <f>HYPERLINK("https://12go.asia/en/travel/andhra-pradesh/dimapur", "12Go Link")</f>
        <v>12Go Link</v>
      </c>
      <c r="E4135" s="3" t="s">
        <v>94</v>
      </c>
      <c r="K4135" s="5"/>
    </row>
    <row r="4136">
      <c r="A4136" s="3" t="s">
        <v>3710</v>
      </c>
      <c r="B4136" s="3" t="s">
        <v>3719</v>
      </c>
      <c r="C4136" s="3" t="s">
        <v>3720</v>
      </c>
      <c r="D4136" s="4" t="str">
        <f>HYPERLINK("https://12go.asia/en/travel/andhra-pradesh/duvvada", "12Go Link")</f>
        <v>12Go Link</v>
      </c>
      <c r="E4136" s="3" t="s">
        <v>94</v>
      </c>
      <c r="K4136" s="5"/>
    </row>
    <row r="4137">
      <c r="A4137" s="3" t="s">
        <v>3710</v>
      </c>
      <c r="B4137" s="3" t="s">
        <v>3721</v>
      </c>
      <c r="C4137" s="3" t="s">
        <v>3722</v>
      </c>
      <c r="D4137" s="4" t="str">
        <f>HYPERLINK("https://12go.asia/en/travel/andhra-pradesh/eluru", "12Go Link")</f>
        <v>12Go Link</v>
      </c>
      <c r="E4137" s="3" t="s">
        <v>94</v>
      </c>
      <c r="K4137" s="5"/>
    </row>
    <row r="4138">
      <c r="A4138" s="3" t="s">
        <v>3710</v>
      </c>
      <c r="B4138" s="3" t="s">
        <v>3723</v>
      </c>
      <c r="C4138" s="3" t="s">
        <v>3724</v>
      </c>
      <c r="D4138" s="4" t="str">
        <f>HYPERLINK("https://12go.asia/en/travel/andhra-pradesh/guntur", "12Go Link")</f>
        <v>12Go Link</v>
      </c>
      <c r="E4138" s="3" t="s">
        <v>94</v>
      </c>
      <c r="K4138" s="5"/>
    </row>
    <row r="4139">
      <c r="A4139" s="3" t="s">
        <v>3710</v>
      </c>
      <c r="B4139" s="3" t="s">
        <v>3723</v>
      </c>
      <c r="C4139" s="3" t="s">
        <v>3725</v>
      </c>
      <c r="D4139" s="4" t="str">
        <f>HYPERLINK("https://12go.asia/en/travel/secunderabad/guntur-andhra-pradesh", "12Go Link")</f>
        <v>12Go Link</v>
      </c>
      <c r="E4139" s="3" t="s">
        <v>8</v>
      </c>
      <c r="K4139" s="5"/>
    </row>
    <row r="4140">
      <c r="A4140" s="3" t="s">
        <v>3710</v>
      </c>
      <c r="B4140" s="3" t="s">
        <v>3726</v>
      </c>
      <c r="C4140" s="3" t="s">
        <v>3727</v>
      </c>
      <c r="D4140" s="4" t="str">
        <f>HYPERLINK("https://12go.asia/en/travel/andhra-pradesh/habibganj", "12Go Link")</f>
        <v>12Go Link</v>
      </c>
      <c r="E4140" s="3" t="s">
        <v>94</v>
      </c>
      <c r="K4140" s="5"/>
    </row>
    <row r="4141">
      <c r="A4141" s="3" t="s">
        <v>3710</v>
      </c>
      <c r="B4141" s="3" t="s">
        <v>3728</v>
      </c>
      <c r="C4141" s="3" t="s">
        <v>3729</v>
      </c>
      <c r="D4141" s="4" t="str">
        <f>HYPERLINK("https://12go.asia/en/travel/andhra-pradesh/katpadi", "12Go Link")</f>
        <v>12Go Link</v>
      </c>
      <c r="E4141" s="3" t="s">
        <v>94</v>
      </c>
      <c r="K4141" s="5"/>
    </row>
    <row r="4142">
      <c r="A4142" s="3" t="s">
        <v>3710</v>
      </c>
      <c r="B4142" s="3" t="s">
        <v>3730</v>
      </c>
      <c r="C4142" s="3" t="s">
        <v>3731</v>
      </c>
      <c r="D4142" s="4" t="str">
        <f>HYPERLINK("https://12go.asia/en/travel/andhra-pradesh/kerala", "12Go Link")</f>
        <v>12Go Link</v>
      </c>
      <c r="E4142" s="3" t="s">
        <v>94</v>
      </c>
      <c r="K4142" s="5"/>
    </row>
    <row r="4143">
      <c r="A4143" s="3" t="s">
        <v>3710</v>
      </c>
      <c r="B4143" s="3" t="s">
        <v>3732</v>
      </c>
      <c r="C4143" s="3" t="s">
        <v>3733</v>
      </c>
      <c r="D4143" s="4" t="str">
        <f>HYPERLINK("https://12go.asia/en/travel/andhra-pradesh/kothapatnam", "12Go Link")</f>
        <v>12Go Link</v>
      </c>
      <c r="E4143" s="3" t="s">
        <v>94</v>
      </c>
      <c r="K4143" s="5"/>
    </row>
    <row r="4144">
      <c r="A4144" s="3" t="s">
        <v>3710</v>
      </c>
      <c r="B4144" s="3" t="s">
        <v>3734</v>
      </c>
      <c r="C4144" s="3" t="s">
        <v>3735</v>
      </c>
      <c r="D4144" s="4" t="str">
        <f>HYPERLINK("https://12go.asia/en/travel/andhra-pradesh/lonavala", "12Go Link")</f>
        <v>12Go Link</v>
      </c>
      <c r="E4144" s="3" t="s">
        <v>94</v>
      </c>
      <c r="K4144" s="5"/>
    </row>
    <row r="4145">
      <c r="A4145" s="3" t="s">
        <v>3710</v>
      </c>
      <c r="B4145" s="3" t="s">
        <v>3736</v>
      </c>
      <c r="C4145" s="3" t="s">
        <v>3737</v>
      </c>
      <c r="D4145" s="4" t="str">
        <f>HYPERLINK("https://12go.asia/en/travel/andhra-pradesh/machilipatnam", "12Go Link")</f>
        <v>12Go Link</v>
      </c>
      <c r="E4145" s="3" t="s">
        <v>94</v>
      </c>
      <c r="K4145" s="5"/>
    </row>
    <row r="4146">
      <c r="A4146" s="3" t="s">
        <v>3710</v>
      </c>
      <c r="B4146" s="3" t="s">
        <v>3644</v>
      </c>
      <c r="C4146" s="3" t="s">
        <v>3738</v>
      </c>
      <c r="D4146" s="4" t="str">
        <f>HYPERLINK("https://12go.asia/en/travel/secunderabad/mangalore", "12Go Link")</f>
        <v>12Go Link</v>
      </c>
      <c r="E4146" s="3" t="s">
        <v>8</v>
      </c>
      <c r="K4146" s="5"/>
    </row>
    <row r="4147">
      <c r="A4147" s="3" t="s">
        <v>3710</v>
      </c>
      <c r="B4147" s="3" t="s">
        <v>3739</v>
      </c>
      <c r="C4147" s="3" t="s">
        <v>3740</v>
      </c>
      <c r="D4147" s="4" t="str">
        <f>HYPERLINK("https://12go.asia/en/travel/andhra-pradesh/mughalsarai", "12Go Link")</f>
        <v>12Go Link</v>
      </c>
      <c r="E4147" s="3" t="s">
        <v>94</v>
      </c>
      <c r="K4147" s="5"/>
    </row>
    <row r="4148">
      <c r="A4148" s="3" t="s">
        <v>3710</v>
      </c>
      <c r="B4148" s="3" t="s">
        <v>172</v>
      </c>
      <c r="C4148" s="3" t="s">
        <v>3741</v>
      </c>
      <c r="D4148" s="4" t="str">
        <f t="shared" ref="D4148:D4149" si="371">HYPERLINK("https://12go.asia/en/travel/secunderabad/mysore", "12Go Link")</f>
        <v>12Go Link</v>
      </c>
      <c r="E4148" s="3" t="s">
        <v>8</v>
      </c>
      <c r="K4148" s="5"/>
    </row>
    <row r="4149">
      <c r="A4149" s="3" t="s">
        <v>3710</v>
      </c>
      <c r="B4149" s="3" t="s">
        <v>172</v>
      </c>
      <c r="C4149" s="3" t="s">
        <v>3741</v>
      </c>
      <c r="D4149" s="4" t="str">
        <f t="shared" si="371"/>
        <v>12Go Link</v>
      </c>
      <c r="E4149" s="3" t="s">
        <v>8</v>
      </c>
      <c r="K4149" s="5"/>
    </row>
    <row r="4150">
      <c r="A4150" s="3" t="s">
        <v>3710</v>
      </c>
      <c r="B4150" s="3" t="s">
        <v>3742</v>
      </c>
      <c r="C4150" s="3" t="s">
        <v>3743</v>
      </c>
      <c r="D4150" s="4" t="str">
        <f>HYPERLINK("https://12go.asia/en/travel/andhra-pradesh/nagaland", "12Go Link")</f>
        <v>12Go Link</v>
      </c>
      <c r="E4150" s="3" t="s">
        <v>94</v>
      </c>
      <c r="K4150" s="5"/>
    </row>
    <row r="4151">
      <c r="A4151" s="3" t="s">
        <v>3710</v>
      </c>
      <c r="B4151" s="3" t="s">
        <v>3744</v>
      </c>
      <c r="C4151" s="3" t="s">
        <v>3745</v>
      </c>
      <c r="D4151" s="4" t="str">
        <f>HYPERLINK("https://12go.asia/en/travel/andhra-pradesh/nellore", "12Go Link")</f>
        <v>12Go Link</v>
      </c>
      <c r="E4151" s="3" t="s">
        <v>94</v>
      </c>
      <c r="K4151" s="5"/>
    </row>
    <row r="4152">
      <c r="A4152" s="3" t="s">
        <v>3710</v>
      </c>
      <c r="B4152" s="3" t="s">
        <v>3746</v>
      </c>
      <c r="C4152" s="3" t="s">
        <v>3747</v>
      </c>
      <c r="D4152" s="4" t="str">
        <f>HYPERLINK("https://12go.asia/en/travel/andhra-pradesh/ongole", "12Go Link")</f>
        <v>12Go Link</v>
      </c>
      <c r="E4152" s="3" t="s">
        <v>94</v>
      </c>
      <c r="K4152" s="5"/>
    </row>
    <row r="4153">
      <c r="A4153" s="3" t="s">
        <v>3710</v>
      </c>
      <c r="B4153" s="3" t="s">
        <v>3748</v>
      </c>
      <c r="C4153" s="3" t="s">
        <v>3749</v>
      </c>
      <c r="D4153" s="4" t="str">
        <f>HYPERLINK("https://12go.asia/en/travel/andhra-pradesh/payakaraopeta", "12Go Link")</f>
        <v>12Go Link</v>
      </c>
      <c r="E4153" s="3" t="s">
        <v>94</v>
      </c>
      <c r="K4153" s="5"/>
    </row>
    <row r="4154">
      <c r="A4154" s="3" t="s">
        <v>3710</v>
      </c>
      <c r="B4154" s="3" t="s">
        <v>3750</v>
      </c>
      <c r="C4154" s="3" t="s">
        <v>3751</v>
      </c>
      <c r="D4154" s="4" t="str">
        <f>HYPERLINK("https://12go.asia/en/travel/andhra-pradesh/podanur", "12Go Link")</f>
        <v>12Go Link</v>
      </c>
      <c r="E4154" s="3" t="s">
        <v>94</v>
      </c>
      <c r="K4154" s="5"/>
    </row>
    <row r="4155">
      <c r="A4155" s="3" t="s">
        <v>3710</v>
      </c>
      <c r="B4155" s="3" t="s">
        <v>3752</v>
      </c>
      <c r="C4155" s="3" t="s">
        <v>3753</v>
      </c>
      <c r="D4155" s="4" t="str">
        <f>HYPERLINK("https://12go.asia/en/travel/andhra-pradesh/allahabad", "12Go Link")</f>
        <v>12Go Link</v>
      </c>
      <c r="E4155" s="3" t="s">
        <v>94</v>
      </c>
      <c r="K4155" s="5"/>
    </row>
    <row r="4156">
      <c r="A4156" s="3" t="s">
        <v>3710</v>
      </c>
      <c r="B4156" s="3" t="s">
        <v>3754</v>
      </c>
      <c r="C4156" s="3" t="s">
        <v>3755</v>
      </c>
      <c r="D4156" s="4" t="str">
        <f>HYPERLINK("https://12go.asia/en/travel/andhra-pradesh/puducherry", "12Go Link")</f>
        <v>12Go Link</v>
      </c>
      <c r="E4156" s="3" t="s">
        <v>94</v>
      </c>
      <c r="K4156" s="5"/>
    </row>
    <row r="4157">
      <c r="A4157" s="3" t="s">
        <v>3710</v>
      </c>
      <c r="B4157" s="3" t="s">
        <v>3756</v>
      </c>
      <c r="C4157" s="3" t="s">
        <v>3757</v>
      </c>
      <c r="D4157" s="4" t="str">
        <f>HYPERLINK("https://12go.asia/en/travel/andhra-pradesh/puttaparthi", "12Go Link")</f>
        <v>12Go Link</v>
      </c>
      <c r="E4157" s="3" t="s">
        <v>94</v>
      </c>
      <c r="K4157" s="5"/>
    </row>
    <row r="4158">
      <c r="A4158" s="3" t="s">
        <v>3710</v>
      </c>
      <c r="B4158" s="3" t="s">
        <v>3633</v>
      </c>
      <c r="C4158" s="3" t="s">
        <v>3758</v>
      </c>
      <c r="D4158" s="4" t="str">
        <f>HYPERLINK("https://12go.asia/en/travel/andhra-pradesh/rajasthan", "12Go Link")</f>
        <v>12Go Link</v>
      </c>
      <c r="E4158" s="3" t="s">
        <v>94</v>
      </c>
      <c r="K4158" s="5"/>
    </row>
    <row r="4159">
      <c r="A4159" s="3" t="s">
        <v>3710</v>
      </c>
      <c r="B4159" s="3" t="s">
        <v>3759</v>
      </c>
      <c r="C4159" s="3" t="s">
        <v>3760</v>
      </c>
      <c r="D4159" s="4" t="str">
        <f>HYPERLINK("https://12go.asia/en/travel/andhra-pradesh/ranchi", "12Go Link")</f>
        <v>12Go Link</v>
      </c>
      <c r="E4159" s="3" t="s">
        <v>94</v>
      </c>
      <c r="K4159" s="5"/>
    </row>
    <row r="4160">
      <c r="A4160" s="3" t="s">
        <v>3710</v>
      </c>
      <c r="B4160" s="3" t="s">
        <v>3761</v>
      </c>
      <c r="C4160" s="3" t="s">
        <v>3762</v>
      </c>
      <c r="D4160" s="4" t="str">
        <f>HYPERLINK("https://12go.asia/en/travel/andhra-pradesh/samalkot", "12Go Link")</f>
        <v>12Go Link</v>
      </c>
      <c r="E4160" s="3" t="s">
        <v>94</v>
      </c>
      <c r="K4160" s="5"/>
    </row>
    <row r="4161">
      <c r="A4161" s="3" t="s">
        <v>3710</v>
      </c>
      <c r="B4161" s="3" t="s">
        <v>3763</v>
      </c>
      <c r="C4161" s="3" t="s">
        <v>3764</v>
      </c>
      <c r="D4161" s="4" t="str">
        <f>HYPERLINK("https://12go.asia/en/travel/andhra-pradesh/satya-sai-p-nilayam", "12Go Link")</f>
        <v>12Go Link</v>
      </c>
      <c r="E4161" s="3" t="s">
        <v>94</v>
      </c>
      <c r="K4161" s="5"/>
    </row>
    <row r="4162">
      <c r="A4162" s="3" t="s">
        <v>3710</v>
      </c>
      <c r="B4162" s="3" t="s">
        <v>3765</v>
      </c>
      <c r="C4162" s="3" t="s">
        <v>3766</v>
      </c>
      <c r="D4162" s="4" t="str">
        <f>HYPERLINK("https://12go.asia/en/travel/andhra-pradesh/srikakulam", "12Go Link")</f>
        <v>12Go Link</v>
      </c>
      <c r="E4162" s="3" t="s">
        <v>94</v>
      </c>
      <c r="K4162" s="5"/>
    </row>
    <row r="4163">
      <c r="A4163" s="3" t="s">
        <v>3710</v>
      </c>
      <c r="B4163" s="3" t="s">
        <v>3767</v>
      </c>
      <c r="C4163" s="3" t="s">
        <v>3768</v>
      </c>
      <c r="D4163" s="4" t="str">
        <f>HYPERLINK("https://12go.asia/en/travel/andhra-pradesh/srikalahasti", "12Go Link")</f>
        <v>12Go Link</v>
      </c>
      <c r="E4163" s="3" t="s">
        <v>94</v>
      </c>
      <c r="K4163" s="5"/>
    </row>
    <row r="4164">
      <c r="A4164" s="3" t="s">
        <v>3710</v>
      </c>
      <c r="B4164" s="3" t="s">
        <v>3769</v>
      </c>
      <c r="C4164" s="3" t="s">
        <v>3770</v>
      </c>
      <c r="D4164" s="4" t="str">
        <f>HYPERLINK("https://12go.asia/en/travel/andhra-pradesh/srirangam", "12Go Link")</f>
        <v>12Go Link</v>
      </c>
      <c r="E4164" s="3" t="s">
        <v>94</v>
      </c>
      <c r="K4164" s="5"/>
    </row>
    <row r="4165">
      <c r="A4165" s="3" t="s">
        <v>3710</v>
      </c>
      <c r="B4165" s="3" t="s">
        <v>3771</v>
      </c>
      <c r="C4165" s="3" t="s">
        <v>3772</v>
      </c>
      <c r="D4165" s="4" t="str">
        <f>HYPERLINK("https://12go.asia/en/travel/andhra-pradesh/taj-mahal", "12Go Link")</f>
        <v>12Go Link</v>
      </c>
      <c r="E4165" s="3" t="s">
        <v>94</v>
      </c>
      <c r="K4165" s="5"/>
    </row>
    <row r="4166">
      <c r="A4166" s="3" t="s">
        <v>3710</v>
      </c>
      <c r="B4166" s="3" t="s">
        <v>3773</v>
      </c>
      <c r="C4166" s="3" t="s">
        <v>3774</v>
      </c>
      <c r="D4166" s="4" t="str">
        <f>HYPERLINK("https://12go.asia/en/travel/andhra-pradesh/tambaram", "12Go Link")</f>
        <v>12Go Link</v>
      </c>
      <c r="E4166" s="3" t="s">
        <v>94</v>
      </c>
      <c r="K4166" s="5"/>
    </row>
    <row r="4167">
      <c r="A4167" s="3" t="s">
        <v>3710</v>
      </c>
      <c r="B4167" s="3" t="s">
        <v>3694</v>
      </c>
      <c r="C4167" s="3" t="s">
        <v>3775</v>
      </c>
      <c r="D4167" s="4" t="str">
        <f t="shared" ref="D4167:D4168" si="372">HYPERLINK("https://12go.asia/en/travel/secunderabad/tiruchirapalli", "12Go Link")</f>
        <v>12Go Link</v>
      </c>
      <c r="E4167" s="3" t="s">
        <v>8</v>
      </c>
      <c r="K4167" s="5"/>
    </row>
    <row r="4168">
      <c r="A4168" s="3" t="s">
        <v>3710</v>
      </c>
      <c r="B4168" s="3" t="s">
        <v>3694</v>
      </c>
      <c r="C4168" s="3" t="s">
        <v>3775</v>
      </c>
      <c r="D4168" s="4" t="str">
        <f t="shared" si="372"/>
        <v>12Go Link</v>
      </c>
      <c r="E4168" s="3" t="s">
        <v>8</v>
      </c>
      <c r="K4168" s="5"/>
    </row>
    <row r="4169">
      <c r="A4169" s="3" t="s">
        <v>3710</v>
      </c>
      <c r="B4169" s="3" t="s">
        <v>3776</v>
      </c>
      <c r="C4169" s="3" t="s">
        <v>3777</v>
      </c>
      <c r="D4169" s="4" t="str">
        <f>HYPERLINK("https://12go.asia/en/travel/andhra-pradesh/ujjain", "12Go Link")</f>
        <v>12Go Link</v>
      </c>
      <c r="E4169" s="3" t="s">
        <v>94</v>
      </c>
      <c r="K4169" s="5"/>
    </row>
    <row r="4170">
      <c r="A4170" s="3" t="s">
        <v>3710</v>
      </c>
      <c r="B4170" s="3" t="s">
        <v>3778</v>
      </c>
      <c r="C4170" s="3" t="s">
        <v>3779</v>
      </c>
      <c r="D4170" s="4" t="str">
        <f>HYPERLINK("https://12go.asia/en/travel/andhra-pradesh/vellore", "12Go Link")</f>
        <v>12Go Link</v>
      </c>
      <c r="E4170" s="3" t="s">
        <v>94</v>
      </c>
      <c r="K4170" s="5"/>
    </row>
    <row r="4171">
      <c r="A4171" s="3" t="s">
        <v>3710</v>
      </c>
      <c r="B4171" s="3" t="s">
        <v>3780</v>
      </c>
      <c r="C4171" s="3" t="s">
        <v>3781</v>
      </c>
      <c r="D4171" s="4" t="str">
        <f>HYPERLINK("https://12go.asia/en/travel/andhra-pradesh/vizianagram", "12Go Link")</f>
        <v>12Go Link</v>
      </c>
      <c r="E4171" s="3" t="s">
        <v>94</v>
      </c>
      <c r="K4171" s="5"/>
    </row>
    <row r="4172">
      <c r="A4172" s="3" t="s">
        <v>3710</v>
      </c>
      <c r="B4172" s="3" t="s">
        <v>3782</v>
      </c>
      <c r="C4172" s="3" t="s">
        <v>3783</v>
      </c>
      <c r="D4172" s="4" t="str">
        <f>HYPERLINK("https://12go.asia/en/travel/andhra-pradesh/warangal", "12Go Link")</f>
        <v>12Go Link</v>
      </c>
      <c r="E4172" s="3" t="s">
        <v>94</v>
      </c>
      <c r="K4172" s="5"/>
    </row>
    <row r="4173">
      <c r="A4173" s="3" t="s">
        <v>3784</v>
      </c>
      <c r="B4173" s="3" t="s">
        <v>3730</v>
      </c>
      <c r="C4173" s="3" t="s">
        <v>3785</v>
      </c>
      <c r="D4173" s="4" t="str">
        <f>HYPERLINK("https://12go.asia/en/travel/angamali/payangadi", "12Go Link")</f>
        <v>12Go Link</v>
      </c>
      <c r="E4173" s="3" t="s">
        <v>94</v>
      </c>
      <c r="K4173" s="5"/>
    </row>
    <row r="4174">
      <c r="A4174" s="3" t="s">
        <v>3784</v>
      </c>
      <c r="B4174" s="3" t="s">
        <v>3786</v>
      </c>
      <c r="C4174" s="3" t="s">
        <v>3787</v>
      </c>
      <c r="D4174" s="4" t="str">
        <f>HYPERLINK("https://12go.asia/en/travel/angamali/nagapattinam-junction", "12Go Link")</f>
        <v>12Go Link</v>
      </c>
      <c r="E4174" s="3" t="s">
        <v>94</v>
      </c>
      <c r="K4174" s="5"/>
    </row>
    <row r="4175">
      <c r="A4175" s="3" t="s">
        <v>3784</v>
      </c>
      <c r="B4175" s="3" t="s">
        <v>3788</v>
      </c>
      <c r="C4175" s="3" t="s">
        <v>3789</v>
      </c>
      <c r="D4175" s="4" t="str">
        <f>HYPERLINK("https://12go.asia/en/travel/angamali/shoranur", "12Go Link")</f>
        <v>12Go Link</v>
      </c>
      <c r="E4175" s="3" t="s">
        <v>94</v>
      </c>
      <c r="K4175" s="5"/>
    </row>
    <row r="4176">
      <c r="A4176" s="3" t="s">
        <v>3784</v>
      </c>
      <c r="B4176" s="3" t="s">
        <v>3788</v>
      </c>
      <c r="C4176" s="3" t="s">
        <v>3790</v>
      </c>
      <c r="D4176" s="4" t="str">
        <f>HYPERLINK("https://12go.asia/en/travel/angamaly/shoranur", "12Go Link")</f>
        <v>12Go Link</v>
      </c>
      <c r="E4176" s="3" t="s">
        <v>94</v>
      </c>
      <c r="K4176" s="5"/>
    </row>
    <row r="4177">
      <c r="A4177" s="3" t="s">
        <v>3791</v>
      </c>
      <c r="B4177" s="3" t="s">
        <v>180</v>
      </c>
      <c r="C4177" s="3" t="s">
        <v>3792</v>
      </c>
      <c r="D4177" s="4" t="str">
        <f>HYPERLINK("https://12go.asia/en/travel/ankleshwar-junction/surat", "12Go Link")</f>
        <v>12Go Link</v>
      </c>
      <c r="E4177" s="3" t="s">
        <v>94</v>
      </c>
      <c r="K4177" s="5"/>
    </row>
    <row r="4178">
      <c r="A4178" s="3" t="s">
        <v>3793</v>
      </c>
      <c r="B4178" s="3" t="s">
        <v>3666</v>
      </c>
      <c r="C4178" s="3" t="s">
        <v>3794</v>
      </c>
      <c r="D4178" s="4" t="str">
        <f>HYPERLINK("https://12go.asia/en/travel/ara/banaras", "12Go Link")</f>
        <v>12Go Link</v>
      </c>
      <c r="E4178" s="3" t="s">
        <v>94</v>
      </c>
      <c r="K4178" s="5"/>
    </row>
    <row r="4179">
      <c r="A4179" s="3" t="s">
        <v>3793</v>
      </c>
      <c r="B4179" s="3" t="s">
        <v>3666</v>
      </c>
      <c r="C4179" s="3" t="s">
        <v>3795</v>
      </c>
      <c r="D4179" s="4" t="str">
        <f>HYPERLINK("https://12go.asia/en/travel/ara/varanasi", "12Go Link")</f>
        <v>12Go Link</v>
      </c>
      <c r="E4179" s="3" t="s">
        <v>94</v>
      </c>
      <c r="K4179" s="5"/>
    </row>
    <row r="4180">
      <c r="A4180" s="3" t="s">
        <v>3793</v>
      </c>
      <c r="B4180" s="3" t="s">
        <v>3666</v>
      </c>
      <c r="C4180" s="3" t="s">
        <v>3796</v>
      </c>
      <c r="D4180" s="4" t="str">
        <f>HYPERLINK("https://12go.asia/en/travel/ara/varanasi-jn", "12Go Link")</f>
        <v>12Go Link</v>
      </c>
      <c r="E4180" s="3" t="s">
        <v>94</v>
      </c>
      <c r="K4180" s="5"/>
    </row>
    <row r="4181">
      <c r="A4181" s="3" t="s">
        <v>3797</v>
      </c>
      <c r="B4181" s="3" t="s">
        <v>3798</v>
      </c>
      <c r="C4181" s="3" t="s">
        <v>3799</v>
      </c>
      <c r="D4181" s="4" t="str">
        <f>HYPERLINK("https://12go.asia/en/travel/asansol-junction/new-jalpaiguri", "12Go Link")</f>
        <v>12Go Link</v>
      </c>
      <c r="E4181" s="3" t="s">
        <v>94</v>
      </c>
      <c r="K4181" s="5"/>
    </row>
    <row r="4182">
      <c r="A4182" s="3" t="s">
        <v>3800</v>
      </c>
      <c r="B4182" s="3" t="s">
        <v>3801</v>
      </c>
      <c r="C4182" s="3" t="s">
        <v>3802</v>
      </c>
      <c r="D4182" s="4" t="str">
        <f>HYPERLINK("https://12go.asia/en/travel/moranhat/guwahati", "12Go Link")</f>
        <v>12Go Link</v>
      </c>
      <c r="E4182" s="3" t="s">
        <v>94</v>
      </c>
      <c r="K4182" s="5"/>
    </row>
    <row r="4183">
      <c r="A4183" s="3" t="s">
        <v>3803</v>
      </c>
      <c r="B4183" s="3" t="s">
        <v>3610</v>
      </c>
      <c r="C4183" s="3" t="s">
        <v>3804</v>
      </c>
      <c r="D4183" s="4" t="str">
        <f>HYPERLINK("https://12go.asia/en/travel/aurangabad/ahmadnagar", "12Go Link")</f>
        <v>12Go Link</v>
      </c>
      <c r="E4183" s="3" t="s">
        <v>94</v>
      </c>
      <c r="K4183" s="5"/>
    </row>
    <row r="4184">
      <c r="A4184" s="3" t="s">
        <v>3803</v>
      </c>
      <c r="B4184" s="3" t="s">
        <v>3805</v>
      </c>
      <c r="C4184" s="3" t="s">
        <v>3806</v>
      </c>
      <c r="D4184" s="4" t="str">
        <f>HYPERLINK("https://12go.asia/en/travel/aurangabad/jhansi", "12Go Link")</f>
        <v>12Go Link</v>
      </c>
      <c r="E4184" s="3" t="s">
        <v>94</v>
      </c>
      <c r="K4184" s="5"/>
    </row>
    <row r="4185">
      <c r="A4185" s="3" t="s">
        <v>3803</v>
      </c>
      <c r="B4185" s="3" t="s">
        <v>3805</v>
      </c>
      <c r="C4185" s="3" t="s">
        <v>3807</v>
      </c>
      <c r="D4185" s="4" t="str">
        <f>HYPERLINK("https://12go.asia/en/travel/aurangabad/virangana-lakshmibai", "12Go Link")</f>
        <v>12Go Link</v>
      </c>
      <c r="E4185" s="3" t="s">
        <v>94</v>
      </c>
      <c r="K4185" s="5"/>
    </row>
    <row r="4186">
      <c r="A4186" s="3" t="s">
        <v>3803</v>
      </c>
      <c r="B4186" s="3" t="s">
        <v>3678</v>
      </c>
      <c r="C4186" s="3" t="s">
        <v>3808</v>
      </c>
      <c r="D4186" s="4" t="str">
        <f>HYPERLINK("https://12go.asia/en/travel/aurangabad/lingampalli", "12Go Link")</f>
        <v>12Go Link</v>
      </c>
      <c r="E4186" s="3" t="s">
        <v>94</v>
      </c>
      <c r="K4186" s="5"/>
    </row>
    <row r="4187">
      <c r="A4187" s="3" t="s">
        <v>3809</v>
      </c>
      <c r="B4187" s="3" t="s">
        <v>3810</v>
      </c>
      <c r="C4187" s="3" t="s">
        <v>3811</v>
      </c>
      <c r="D4187" s="4" t="str">
        <f>HYPERLINK("https://12go.asia/en/travel/azamgarh/barauni", "12Go Link")</f>
        <v>12Go Link</v>
      </c>
      <c r="E4187" s="3" t="s">
        <v>94</v>
      </c>
      <c r="K4187" s="5"/>
    </row>
    <row r="4188">
      <c r="A4188" s="3" t="s">
        <v>3809</v>
      </c>
      <c r="B4188" s="3" t="s">
        <v>3810</v>
      </c>
      <c r="C4188" s="3" t="s">
        <v>3812</v>
      </c>
      <c r="D4188" s="4" t="str">
        <f>HYPERLINK("https://12go.asia/en/travel/azamgarh/barauni-junction", "12Go Link")</f>
        <v>12Go Link</v>
      </c>
      <c r="E4188" s="3" t="s">
        <v>94</v>
      </c>
      <c r="K4188" s="5"/>
    </row>
    <row r="4189">
      <c r="A4189" s="3" t="s">
        <v>3813</v>
      </c>
      <c r="B4189" s="3" t="s">
        <v>3647</v>
      </c>
      <c r="C4189" s="3" t="s">
        <v>3814</v>
      </c>
      <c r="D4189" s="4" t="str">
        <f>HYPERLINK("https://12go.asia/en/travel/babhnan/anand-vihar-trm", "12Go Link")</f>
        <v>12Go Link</v>
      </c>
      <c r="E4189" s="3" t="s">
        <v>94</v>
      </c>
      <c r="K4189" s="5"/>
    </row>
    <row r="4190">
      <c r="A4190" s="3" t="s">
        <v>3813</v>
      </c>
      <c r="B4190" s="3" t="s">
        <v>3647</v>
      </c>
      <c r="C4190" s="3" t="s">
        <v>3815</v>
      </c>
      <c r="D4190" s="4" t="str">
        <f>HYPERLINK("https://12go.asia/en/travel/babhnan/delhi", "12Go Link")</f>
        <v>12Go Link</v>
      </c>
      <c r="E4190" s="3" t="s">
        <v>94</v>
      </c>
      <c r="K4190" s="5"/>
    </row>
    <row r="4191">
      <c r="A4191" s="3" t="s">
        <v>3816</v>
      </c>
      <c r="B4191" s="3" t="s">
        <v>3817</v>
      </c>
      <c r="C4191" s="3" t="s">
        <v>3818</v>
      </c>
      <c r="D4191" s="4" t="str">
        <f>HYPERLINK("https://12go.asia/en/travel/badami/hassan", "12Go Link")</f>
        <v>12Go Link</v>
      </c>
      <c r="E4191" s="3" t="s">
        <v>94</v>
      </c>
      <c r="K4191" s="5"/>
    </row>
    <row r="4192">
      <c r="A4192" s="3" t="s">
        <v>3617</v>
      </c>
      <c r="B4192" s="3" t="s">
        <v>3582</v>
      </c>
      <c r="C4192" s="3" t="s">
        <v>3819</v>
      </c>
      <c r="D4192" s="4" t="str">
        <f>HYPERLINK("https://12go.asia/en/travel/badnera-junction/tirupati", "12Go Link")</f>
        <v>12Go Link</v>
      </c>
      <c r="E4192" s="3" t="s">
        <v>94</v>
      </c>
      <c r="K4192" s="5"/>
    </row>
    <row r="4193">
      <c r="A4193" s="3" t="s">
        <v>3617</v>
      </c>
      <c r="B4193" s="3" t="s">
        <v>3582</v>
      </c>
      <c r="C4193" s="3" t="s">
        <v>3820</v>
      </c>
      <c r="D4193" s="4" t="str">
        <f>HYPERLINK("https://12go.asia/en/travel/badnera/tirupati", "12Go Link")</f>
        <v>12Go Link</v>
      </c>
      <c r="E4193" s="3" t="s">
        <v>94</v>
      </c>
      <c r="K4193" s="5"/>
    </row>
    <row r="4194">
      <c r="A4194" s="3" t="s">
        <v>3821</v>
      </c>
      <c r="B4194" s="3" t="s">
        <v>3822</v>
      </c>
      <c r="C4194" s="3" t="s">
        <v>3823</v>
      </c>
      <c r="D4194" s="4" t="str">
        <f>HYPERLINK("https://12go.asia/en/travel/balasore/angul", "12Go Link")</f>
        <v>12Go Link</v>
      </c>
      <c r="E4194" s="3" t="s">
        <v>94</v>
      </c>
      <c r="K4194" s="5"/>
    </row>
    <row r="4195">
      <c r="A4195" s="3" t="s">
        <v>3821</v>
      </c>
      <c r="B4195" s="3" t="s">
        <v>3715</v>
      </c>
      <c r="C4195" s="3" t="s">
        <v>3824</v>
      </c>
      <c r="D4195" s="4" t="str">
        <f>HYPERLINK("https://12go.asia/en/travel/balasore/chennai", "12Go Link")</f>
        <v>12Go Link</v>
      </c>
      <c r="E4195" s="3" t="s">
        <v>94</v>
      </c>
      <c r="K4195" s="5"/>
    </row>
    <row r="4196">
      <c r="A4196" s="3" t="s">
        <v>3821</v>
      </c>
      <c r="B4196" s="3" t="s">
        <v>3715</v>
      </c>
      <c r="C4196" s="3" t="s">
        <v>3825</v>
      </c>
      <c r="D4196" s="4" t="str">
        <f>HYPERLINK("https://12go.asia/en/travel/balasore/chennai-central", "12Go Link")</f>
        <v>12Go Link</v>
      </c>
      <c r="E4196" s="3" t="s">
        <v>94</v>
      </c>
      <c r="K4196" s="5"/>
    </row>
    <row r="4197">
      <c r="A4197" s="3" t="s">
        <v>3826</v>
      </c>
      <c r="B4197" s="3" t="s">
        <v>3827</v>
      </c>
      <c r="C4197" s="3" t="s">
        <v>3828</v>
      </c>
      <c r="D4197" s="4" t="str">
        <f>HYPERLINK("https://12go.asia/en/travel/ballabgarh/bharatpur-jn", "12Go Link")</f>
        <v>12Go Link</v>
      </c>
      <c r="E4197" s="3" t="s">
        <v>94</v>
      </c>
      <c r="K4197" s="5"/>
    </row>
    <row r="4198">
      <c r="A4198" s="3" t="s">
        <v>3826</v>
      </c>
      <c r="B4198" s="3" t="s">
        <v>3827</v>
      </c>
      <c r="C4198" s="3" t="s">
        <v>3829</v>
      </c>
      <c r="D4198" s="4" t="str">
        <f>HYPERLINK("https://12go.asia/en/travel/ballabgarh/bharatpur-rajasthan", "12Go Link")</f>
        <v>12Go Link</v>
      </c>
      <c r="E4198" s="3" t="s">
        <v>94</v>
      </c>
      <c r="K4198" s="5"/>
    </row>
    <row r="4199">
      <c r="A4199" s="3" t="s">
        <v>3830</v>
      </c>
      <c r="B4199" s="3" t="s">
        <v>3582</v>
      </c>
      <c r="C4199" s="3" t="s">
        <v>3831</v>
      </c>
      <c r="D4199" s="4" t="str">
        <f>HYPERLINK("https://12go.asia/en/travel/balharshah/renigunta-junction", "12Go Link")</f>
        <v>12Go Link</v>
      </c>
      <c r="E4199" s="3" t="s">
        <v>94</v>
      </c>
      <c r="K4199" s="5"/>
    </row>
    <row r="4200">
      <c r="A4200" s="3" t="s">
        <v>3830</v>
      </c>
      <c r="B4200" s="3" t="s">
        <v>3582</v>
      </c>
      <c r="C4200" s="3" t="s">
        <v>3832</v>
      </c>
      <c r="D4200" s="4" t="str">
        <f>HYPERLINK("https://12go.asia/en/travel/ballarpur/tirupati", "12Go Link")</f>
        <v>12Go Link</v>
      </c>
      <c r="E4200" s="3" t="s">
        <v>94</v>
      </c>
      <c r="K4200" s="5"/>
    </row>
    <row r="4201">
      <c r="A4201" s="3" t="s">
        <v>3833</v>
      </c>
      <c r="B4201" s="3" t="s">
        <v>3834</v>
      </c>
      <c r="C4201" s="3" t="s">
        <v>3835</v>
      </c>
      <c r="D4201" s="4" t="str">
        <f>HYPERLINK("https://12go.asia/en/travel/ballia/manmad", "12Go Link")</f>
        <v>12Go Link</v>
      </c>
      <c r="E4201" s="3" t="s">
        <v>94</v>
      </c>
      <c r="K4201" s="5"/>
    </row>
    <row r="4202">
      <c r="A4202" s="3" t="s">
        <v>3833</v>
      </c>
      <c r="B4202" s="3" t="s">
        <v>3834</v>
      </c>
      <c r="C4202" s="3" t="s">
        <v>3836</v>
      </c>
      <c r="D4202" s="4" t="str">
        <f>HYPERLINK("https://12go.asia/en/travel/ballia/manmad-junction", "12Go Link")</f>
        <v>12Go Link</v>
      </c>
      <c r="E4202" s="3" t="s">
        <v>94</v>
      </c>
      <c r="K4202" s="5"/>
    </row>
    <row r="4203">
      <c r="A4203" s="3" t="s">
        <v>3833</v>
      </c>
      <c r="B4203" s="3" t="s">
        <v>180</v>
      </c>
      <c r="C4203" s="3" t="s">
        <v>3837</v>
      </c>
      <c r="D4203" s="4" t="str">
        <f>HYPERLINK("https://12go.asia/en/travel/ballia/surat", "12Go Link")</f>
        <v>12Go Link</v>
      </c>
      <c r="E4203" s="3" t="s">
        <v>94</v>
      </c>
      <c r="K4203" s="5"/>
    </row>
    <row r="4204">
      <c r="A4204" s="3" t="s">
        <v>3838</v>
      </c>
      <c r="B4204" s="3" t="s">
        <v>3682</v>
      </c>
      <c r="C4204" s="3" t="s">
        <v>3839</v>
      </c>
      <c r="D4204" s="4" t="str">
        <f>HYPERLINK("https://12go.asia/en/travel/balotra-junction/kalyan-jn", "12Go Link")</f>
        <v>12Go Link</v>
      </c>
      <c r="E4204" s="3" t="s">
        <v>94</v>
      </c>
      <c r="K4204" s="5"/>
    </row>
    <row r="4205">
      <c r="A4205" s="3" t="s">
        <v>3838</v>
      </c>
      <c r="B4205" s="3" t="s">
        <v>3682</v>
      </c>
      <c r="C4205" s="3" t="s">
        <v>3840</v>
      </c>
      <c r="D4205" s="4" t="str">
        <f>HYPERLINK("https://12go.asia/en/travel/balotra/kalyan", "12Go Link")</f>
        <v>12Go Link</v>
      </c>
      <c r="E4205" s="3" t="s">
        <v>94</v>
      </c>
      <c r="K4205" s="5"/>
    </row>
    <row r="4206">
      <c r="A4206" s="3" t="s">
        <v>3841</v>
      </c>
      <c r="B4206" s="3" t="s">
        <v>3842</v>
      </c>
      <c r="C4206" s="3" t="s">
        <v>3843</v>
      </c>
      <c r="D4206" s="4" t="str">
        <f>HYPERLINK("https://12go.asia/en/travel/banda-india/new-delhi", "12Go Link")</f>
        <v>12Go Link</v>
      </c>
      <c r="E4206" s="3" t="s">
        <v>94</v>
      </c>
      <c r="K4206" s="5"/>
    </row>
    <row r="4207">
      <c r="A4207" s="3" t="s">
        <v>3619</v>
      </c>
      <c r="B4207" s="3" t="s">
        <v>3647</v>
      </c>
      <c r="C4207" s="3" t="s">
        <v>3844</v>
      </c>
      <c r="D4207" s="4" t="str">
        <f>HYPERLINK("https://12go.asia/en/travel/bandikui-junction/delhi", "12Go Link")</f>
        <v>12Go Link</v>
      </c>
      <c r="E4207" s="3" t="s">
        <v>94</v>
      </c>
      <c r="K4207" s="5"/>
    </row>
    <row r="4208">
      <c r="A4208" s="3" t="s">
        <v>3619</v>
      </c>
      <c r="B4208" s="3" t="s">
        <v>3647</v>
      </c>
      <c r="C4208" s="3" t="s">
        <v>3845</v>
      </c>
      <c r="D4208" s="4" t="str">
        <f>HYPERLINK("https://12go.asia/en/travel/bandikui-junction/delhi-sarai-rohilla", "12Go Link")</f>
        <v>12Go Link</v>
      </c>
      <c r="E4208" s="3" t="s">
        <v>94</v>
      </c>
      <c r="K4208" s="5"/>
    </row>
    <row r="4209">
      <c r="A4209" s="3" t="s">
        <v>3619</v>
      </c>
      <c r="B4209" s="3" t="s">
        <v>3842</v>
      </c>
      <c r="C4209" s="3" t="s">
        <v>3846</v>
      </c>
      <c r="D4209" s="4" t="str">
        <f>HYPERLINK("https://12go.asia/en/travel/bandikui-junction/new-delhi", "12Go Link")</f>
        <v>12Go Link</v>
      </c>
      <c r="E4209" s="3" t="s">
        <v>94</v>
      </c>
      <c r="K4209" s="5"/>
    </row>
    <row r="4210">
      <c r="A4210" s="3" t="s">
        <v>3847</v>
      </c>
      <c r="B4210" s="3" t="s">
        <v>3610</v>
      </c>
      <c r="C4210" s="3" t="s">
        <v>3848</v>
      </c>
      <c r="D4210" s="4" t="str">
        <f>HYPERLINK("https://12go.asia/en/travel/bangalore/ahmadnagar", "12Go Link")</f>
        <v>12Go Link</v>
      </c>
      <c r="E4210" s="3" t="s">
        <v>94</v>
      </c>
      <c r="K4210" s="5"/>
    </row>
    <row r="4211">
      <c r="A4211" s="3" t="s">
        <v>3847</v>
      </c>
      <c r="B4211" s="3" t="s">
        <v>3610</v>
      </c>
      <c r="C4211" s="3" t="s">
        <v>3849</v>
      </c>
      <c r="D4211" s="4" t="str">
        <f>HYPERLINK("https://12go.asia/en/travel/ksr-bangalore/ahmadnagar", "12Go Link")</f>
        <v>12Go Link</v>
      </c>
      <c r="E4211" s="3" t="s">
        <v>94</v>
      </c>
      <c r="K4211" s="5"/>
    </row>
    <row r="4212">
      <c r="A4212" s="3" t="s">
        <v>3847</v>
      </c>
      <c r="B4212" s="3" t="s">
        <v>3657</v>
      </c>
      <c r="C4212" s="3" t="s">
        <v>3850</v>
      </c>
      <c r="D4212" s="4" t="str">
        <f>HYPERLINK("https://12go.asia/en/travel/new-bengaluru-terminal/aluva", "12Go Link")</f>
        <v>12Go Link</v>
      </c>
      <c r="E4212" s="3" t="s">
        <v>94</v>
      </c>
      <c r="K4212" s="5"/>
    </row>
    <row r="4213">
      <c r="A4213" s="3" t="s">
        <v>3847</v>
      </c>
      <c r="B4213" s="3" t="s">
        <v>3784</v>
      </c>
      <c r="C4213" s="3" t="s">
        <v>3851</v>
      </c>
      <c r="D4213" s="4" t="str">
        <f>HYPERLINK("https://12go.asia/en/travel/ksr-bangalore/angamali", "12Go Link")</f>
        <v>12Go Link</v>
      </c>
      <c r="E4213" s="3" t="s">
        <v>94</v>
      </c>
      <c r="K4213" s="5"/>
    </row>
    <row r="4214">
      <c r="A4214" s="3" t="s">
        <v>3847</v>
      </c>
      <c r="B4214" s="3" t="s">
        <v>3852</v>
      </c>
      <c r="C4214" s="3" t="s">
        <v>3853</v>
      </c>
      <c r="D4214" s="4" t="str">
        <f>HYPERLINK("https://12go.asia/en/travel/ksr-bangalore/ankola", "12Go Link")</f>
        <v>12Go Link</v>
      </c>
      <c r="E4214" s="3" t="s">
        <v>94</v>
      </c>
      <c r="K4214" s="5"/>
    </row>
    <row r="4215">
      <c r="A4215" s="3" t="s">
        <v>3847</v>
      </c>
      <c r="B4215" s="3" t="s">
        <v>3854</v>
      </c>
      <c r="C4215" s="3" t="s">
        <v>3855</v>
      </c>
      <c r="D4215" s="4" t="str">
        <f>HYPERLINK("https://12go.asia/en/travel/bangalore/baindur", "12Go Link")</f>
        <v>12Go Link</v>
      </c>
      <c r="E4215" s="3" t="s">
        <v>94</v>
      </c>
      <c r="K4215" s="5"/>
    </row>
    <row r="4216">
      <c r="A4216" s="3" t="s">
        <v>3847</v>
      </c>
      <c r="B4216" s="3" t="s">
        <v>3854</v>
      </c>
      <c r="C4216" s="3" t="s">
        <v>3856</v>
      </c>
      <c r="D4216" s="4" t="str">
        <f>HYPERLINK("https://12go.asia/en/travel/ksr-bangalore/mookambika-road-byndoor", "12Go Link")</f>
        <v>12Go Link</v>
      </c>
      <c r="E4216" s="3" t="s">
        <v>94</v>
      </c>
      <c r="K4216" s="5"/>
    </row>
    <row r="4217">
      <c r="A4217" s="3" t="s">
        <v>3847</v>
      </c>
      <c r="B4217" s="3" t="s">
        <v>3830</v>
      </c>
      <c r="C4217" s="3" t="s">
        <v>3857</v>
      </c>
      <c r="D4217" s="4" t="str">
        <f>HYPERLINK("https://12go.asia/en/travel/bangalore/ballarpur", "12Go Link")</f>
        <v>12Go Link</v>
      </c>
      <c r="E4217" s="3" t="s">
        <v>94</v>
      </c>
      <c r="K4217" s="5"/>
    </row>
    <row r="4218">
      <c r="A4218" s="3" t="s">
        <v>3847</v>
      </c>
      <c r="B4218" s="3" t="s">
        <v>3830</v>
      </c>
      <c r="C4218" s="3" t="s">
        <v>3858</v>
      </c>
      <c r="D4218" s="4" t="str">
        <f>HYPERLINK("https://12go.asia/en/travel/ksr-bangalore/balharshah", "12Go Link")</f>
        <v>12Go Link</v>
      </c>
      <c r="E4218" s="3" t="s">
        <v>94</v>
      </c>
      <c r="K4218" s="5"/>
    </row>
    <row r="4219">
      <c r="A4219" s="3" t="s">
        <v>3847</v>
      </c>
      <c r="B4219" s="3" t="s">
        <v>3830</v>
      </c>
      <c r="C4219" s="3" t="s">
        <v>3859</v>
      </c>
      <c r="D4219" s="4" t="str">
        <f>HYPERLINK("https://12go.asia/en/travel/new-bengaluru-terminal/balharshah", "12Go Link")</f>
        <v>12Go Link</v>
      </c>
      <c r="E4219" s="3" t="s">
        <v>94</v>
      </c>
      <c r="K4219" s="5"/>
    </row>
    <row r="4220">
      <c r="A4220" s="3" t="s">
        <v>3847</v>
      </c>
      <c r="B4220" s="3" t="s">
        <v>3860</v>
      </c>
      <c r="C4220" s="3" t="s">
        <v>3861</v>
      </c>
      <c r="D4220" s="4" t="str">
        <f>HYPERLINK("https://12go.asia/en/travel/yesvantpur/bantawala", "12Go Link")</f>
        <v>12Go Link</v>
      </c>
      <c r="E4220" s="3" t="s">
        <v>94</v>
      </c>
      <c r="K4220" s="5"/>
    </row>
    <row r="4221">
      <c r="A4221" s="3" t="s">
        <v>3847</v>
      </c>
      <c r="B4221" s="3" t="s">
        <v>3862</v>
      </c>
      <c r="C4221" s="3" t="s">
        <v>3863</v>
      </c>
      <c r="D4221" s="4" t="str">
        <f>HYPERLINK("https://12go.asia/en/travel/ksr-bangalore/bidar", "12Go Link")</f>
        <v>12Go Link</v>
      </c>
      <c r="E4221" s="3" t="s">
        <v>94</v>
      </c>
      <c r="K4221" s="5"/>
    </row>
    <row r="4222">
      <c r="A4222" s="3" t="s">
        <v>3847</v>
      </c>
      <c r="B4222" s="3" t="s">
        <v>3862</v>
      </c>
      <c r="C4222" s="3" t="s">
        <v>3864</v>
      </c>
      <c r="D4222" s="4" t="str">
        <f>HYPERLINK("https://12go.asia/en/travel/yelahanka-junction/bidar", "12Go Link")</f>
        <v>12Go Link</v>
      </c>
      <c r="E4222" s="3" t="s">
        <v>94</v>
      </c>
      <c r="K4222" s="5"/>
    </row>
    <row r="4223">
      <c r="A4223" s="3" t="s">
        <v>3847</v>
      </c>
      <c r="B4223" s="3" t="s">
        <v>3862</v>
      </c>
      <c r="C4223" s="3" t="s">
        <v>3865</v>
      </c>
      <c r="D4223" s="4" t="str">
        <f>HYPERLINK("https://12go.asia/en/travel/yesvantpur/bidar", "12Go Link")</f>
        <v>12Go Link</v>
      </c>
      <c r="E4223" s="3" t="s">
        <v>94</v>
      </c>
      <c r="K4223" s="5"/>
    </row>
    <row r="4224">
      <c r="A4224" s="3" t="s">
        <v>3847</v>
      </c>
      <c r="B4224" s="3" t="s">
        <v>3866</v>
      </c>
      <c r="C4224" s="3" t="s">
        <v>3867</v>
      </c>
      <c r="D4224" s="4" t="str">
        <f>HYPERLINK("https://12go.asia/en/travel/ksr-bangalore/brahmapur", "12Go Link")</f>
        <v>12Go Link</v>
      </c>
      <c r="E4224" s="3" t="s">
        <v>94</v>
      </c>
      <c r="K4224" s="5"/>
    </row>
    <row r="4225">
      <c r="A4225" s="3" t="s">
        <v>3847</v>
      </c>
      <c r="B4225" s="3" t="s">
        <v>3866</v>
      </c>
      <c r="C4225" s="3" t="s">
        <v>3868</v>
      </c>
      <c r="D4225" s="4" t="str">
        <f>HYPERLINK("https://12go.asia/en/travel/new-bengaluru-terminal/brahmapur", "12Go Link")</f>
        <v>12Go Link</v>
      </c>
      <c r="E4225" s="3" t="s">
        <v>94</v>
      </c>
      <c r="K4225" s="5"/>
    </row>
    <row r="4226">
      <c r="A4226" s="3" t="s">
        <v>3847</v>
      </c>
      <c r="B4226" s="3" t="s">
        <v>3869</v>
      </c>
      <c r="C4226" s="3" t="s">
        <v>3870</v>
      </c>
      <c r="D4226" s="4" t="str">
        <f>HYPERLINK("https://12go.asia/en/travel/bangalore/chandrapur", "12Go Link")</f>
        <v>12Go Link</v>
      </c>
      <c r="E4226" s="3" t="s">
        <v>94</v>
      </c>
      <c r="K4226" s="5"/>
    </row>
    <row r="4227">
      <c r="A4227" s="3" t="s">
        <v>3847</v>
      </c>
      <c r="B4227" s="3" t="s">
        <v>3869</v>
      </c>
      <c r="C4227" s="3" t="s">
        <v>3871</v>
      </c>
      <c r="D4227" s="4" t="str">
        <f>HYPERLINK("https://12go.asia/en/travel/ksr-bangalore/chandrapur", "12Go Link")</f>
        <v>12Go Link</v>
      </c>
      <c r="E4227" s="3" t="s">
        <v>94</v>
      </c>
      <c r="K4227" s="5"/>
    </row>
    <row r="4228">
      <c r="A4228" s="3" t="s">
        <v>3847</v>
      </c>
      <c r="B4228" s="3" t="s">
        <v>3869</v>
      </c>
      <c r="C4228" s="3" t="s">
        <v>3872</v>
      </c>
      <c r="D4228" s="4" t="str">
        <f>HYPERLINK("https://12go.asia/en/travel/new-bengaluru-terminal/chandrapur", "12Go Link")</f>
        <v>12Go Link</v>
      </c>
      <c r="E4228" s="3" t="s">
        <v>94</v>
      </c>
      <c r="K4228" s="5"/>
    </row>
    <row r="4229">
      <c r="A4229" s="3" t="s">
        <v>3847</v>
      </c>
      <c r="B4229" s="3" t="s">
        <v>3869</v>
      </c>
      <c r="C4229" s="3" t="s">
        <v>3873</v>
      </c>
      <c r="D4229" s="4" t="str">
        <f>HYPERLINK("https://12go.asia/en/travel/yesvantpur/chandrapur", "12Go Link")</f>
        <v>12Go Link</v>
      </c>
      <c r="E4229" s="3" t="s">
        <v>94</v>
      </c>
      <c r="K4229" s="5"/>
    </row>
    <row r="4230">
      <c r="A4230" s="3" t="s">
        <v>3847</v>
      </c>
      <c r="B4230" s="3" t="s">
        <v>3874</v>
      </c>
      <c r="C4230" s="3" t="s">
        <v>3875</v>
      </c>
      <c r="D4230" s="4" t="str">
        <f>HYPERLINK("https://12go.asia/en/travel/new-bengaluru-terminal/davangere", "12Go Link")</f>
        <v>12Go Link</v>
      </c>
      <c r="E4230" s="3" t="s">
        <v>94</v>
      </c>
      <c r="K4230" s="5"/>
    </row>
    <row r="4231">
      <c r="A4231" s="3" t="s">
        <v>3847</v>
      </c>
      <c r="B4231" s="3" t="s">
        <v>3876</v>
      </c>
      <c r="C4231" s="3" t="s">
        <v>3877</v>
      </c>
      <c r="D4231" s="4" t="str">
        <f>HYPERLINK("https://12go.asia/en/travel/new-bengaluru-terminal/dharwar", "12Go Link")</f>
        <v>12Go Link</v>
      </c>
      <c r="E4231" s="3" t="s">
        <v>94</v>
      </c>
      <c r="K4231" s="5"/>
    </row>
    <row r="4232">
      <c r="A4232" s="3" t="s">
        <v>3847</v>
      </c>
      <c r="B4232" s="3" t="s">
        <v>3878</v>
      </c>
      <c r="C4232" s="3" t="s">
        <v>3879</v>
      </c>
      <c r="D4232" s="4" t="str">
        <f>HYPERLINK("https://12go.asia/en/travel/new-bengaluru-terminal/dindigul-junction", "12Go Link")</f>
        <v>12Go Link</v>
      </c>
      <c r="E4232" s="3" t="s">
        <v>94</v>
      </c>
      <c r="K4232" s="5"/>
    </row>
    <row r="4233">
      <c r="A4233" s="3" t="s">
        <v>3847</v>
      </c>
      <c r="B4233" s="3" t="s">
        <v>3880</v>
      </c>
      <c r="C4233" s="3" t="s">
        <v>3881</v>
      </c>
      <c r="D4233" s="4" t="str">
        <f>HYPERLINK("https://12go.asia/en/travel/bangalore/durg", "12Go Link")</f>
        <v>12Go Link</v>
      </c>
      <c r="E4233" s="3" t="s">
        <v>94</v>
      </c>
      <c r="K4233" s="5"/>
    </row>
    <row r="4234">
      <c r="A4234" s="3" t="s">
        <v>3847</v>
      </c>
      <c r="B4234" s="3" t="s">
        <v>3880</v>
      </c>
      <c r="C4234" s="3" t="s">
        <v>3882</v>
      </c>
      <c r="D4234" s="4" t="str">
        <f>HYPERLINK("https://12go.asia/en/travel/yesvantpur/durg", "12Go Link")</f>
        <v>12Go Link</v>
      </c>
      <c r="E4234" s="3" t="s">
        <v>94</v>
      </c>
      <c r="K4234" s="5"/>
    </row>
    <row r="4235">
      <c r="A4235" s="3" t="s">
        <v>3847</v>
      </c>
      <c r="B4235" s="3" t="s">
        <v>3883</v>
      </c>
      <c r="C4235" s="3" t="s">
        <v>3884</v>
      </c>
      <c r="D4235" s="4" t="str">
        <f>HYPERLINK("https://12go.asia/en/travel/bangalore/gadag", "12Go Link")</f>
        <v>12Go Link</v>
      </c>
      <c r="E4235" s="3" t="s">
        <v>94</v>
      </c>
      <c r="K4235" s="5"/>
    </row>
    <row r="4236">
      <c r="A4236" s="3" t="s">
        <v>3847</v>
      </c>
      <c r="B4236" s="3" t="s">
        <v>3883</v>
      </c>
      <c r="C4236" s="3" t="s">
        <v>3885</v>
      </c>
      <c r="D4236" s="4" t="str">
        <f>HYPERLINK("https://12go.asia/en/travel/ksr-bangalore/gadag-junction", "12Go Link")</f>
        <v>12Go Link</v>
      </c>
      <c r="E4236" s="3" t="s">
        <v>94</v>
      </c>
      <c r="K4236" s="5"/>
    </row>
    <row r="4237">
      <c r="A4237" s="3" t="s">
        <v>3847</v>
      </c>
      <c r="B4237" s="3" t="s">
        <v>3883</v>
      </c>
      <c r="C4237" s="3" t="s">
        <v>3886</v>
      </c>
      <c r="D4237" s="4" t="str">
        <f>HYPERLINK("https://12go.asia/en/travel/yesvantpur/gadag-junction", "12Go Link")</f>
        <v>12Go Link</v>
      </c>
      <c r="E4237" s="3" t="s">
        <v>94</v>
      </c>
      <c r="K4237" s="5"/>
    </row>
    <row r="4238">
      <c r="A4238" s="3" t="s">
        <v>3847</v>
      </c>
      <c r="B4238" s="3" t="s">
        <v>3887</v>
      </c>
      <c r="C4238" s="3" t="s">
        <v>3888</v>
      </c>
      <c r="D4238" s="4" t="str">
        <f>HYPERLINK("https://12go.asia/en/travel/bangalore/ganagapur-road", "12Go Link")</f>
        <v>12Go Link</v>
      </c>
      <c r="E4238" s="3" t="s">
        <v>94</v>
      </c>
      <c r="K4238" s="5"/>
    </row>
    <row r="4239">
      <c r="A4239" s="3" t="s">
        <v>3847</v>
      </c>
      <c r="B4239" s="3" t="s">
        <v>3887</v>
      </c>
      <c r="C4239" s="3" t="s">
        <v>3889</v>
      </c>
      <c r="D4239" s="4" t="str">
        <f>HYPERLINK("https://12go.asia/en/travel/ksr-bangalore/ganagapur-road", "12Go Link")</f>
        <v>12Go Link</v>
      </c>
      <c r="E4239" s="3" t="s">
        <v>94</v>
      </c>
      <c r="K4239" s="5"/>
    </row>
    <row r="4240">
      <c r="A4240" s="3" t="s">
        <v>3847</v>
      </c>
      <c r="B4240" s="3" t="s">
        <v>3890</v>
      </c>
      <c r="C4240" s="3" t="s">
        <v>3891</v>
      </c>
      <c r="D4240" s="4" t="str">
        <f>HYPERLINK("https://12go.asia/en/travel/new-bengaluru-terminal/vasco-da-gama", "12Go Link")</f>
        <v>12Go Link</v>
      </c>
      <c r="E4240" s="3" t="s">
        <v>94</v>
      </c>
      <c r="K4240" s="5"/>
    </row>
    <row r="4241">
      <c r="A4241" s="3" t="s">
        <v>3847</v>
      </c>
      <c r="B4241" s="3" t="s">
        <v>3892</v>
      </c>
      <c r="C4241" s="3" t="s">
        <v>3893</v>
      </c>
      <c r="D4241" s="4" t="str">
        <f>HYPERLINK("https://12go.asia/en/travel/bangalore/gopalpur-odisha", "12Go Link")</f>
        <v>12Go Link</v>
      </c>
      <c r="E4241" s="3" t="s">
        <v>94</v>
      </c>
      <c r="K4241" s="5"/>
    </row>
    <row r="4242">
      <c r="A4242" s="3" t="s">
        <v>3847</v>
      </c>
      <c r="B4242" s="3" t="s">
        <v>3723</v>
      </c>
      <c r="C4242" s="3" t="s">
        <v>3894</v>
      </c>
      <c r="D4242" s="4" t="str">
        <f>HYPERLINK("https://12go.asia/en/travel/ksr-bangalore/guntur-junction", "12Go Link")</f>
        <v>12Go Link</v>
      </c>
      <c r="E4242" s="3" t="s">
        <v>94</v>
      </c>
      <c r="K4242" s="5"/>
    </row>
    <row r="4243">
      <c r="A4243" s="3" t="s">
        <v>3847</v>
      </c>
      <c r="B4243" s="3" t="s">
        <v>3817</v>
      </c>
      <c r="C4243" s="3" t="s">
        <v>3895</v>
      </c>
      <c r="D4243" s="4" t="str">
        <f>HYPERLINK("https://12go.asia/en/travel/new-bengaluru-terminal/hassan", "12Go Link")</f>
        <v>12Go Link</v>
      </c>
      <c r="E4243" s="3" t="s">
        <v>94</v>
      </c>
      <c r="K4243" s="5"/>
    </row>
    <row r="4244">
      <c r="A4244" s="3" t="s">
        <v>3847</v>
      </c>
      <c r="B4244" s="3" t="s">
        <v>3896</v>
      </c>
      <c r="C4244" s="3" t="s">
        <v>3897</v>
      </c>
      <c r="D4244" s="4" t="str">
        <f>HYPERLINK("https://12go.asia/en/travel/ksr-bangalore/irinjalakuda", "12Go Link")</f>
        <v>12Go Link</v>
      </c>
      <c r="E4244" s="3" t="s">
        <v>94</v>
      </c>
      <c r="K4244" s="5"/>
    </row>
    <row r="4245">
      <c r="A4245" s="3" t="s">
        <v>3847</v>
      </c>
      <c r="B4245" s="3" t="s">
        <v>3898</v>
      </c>
      <c r="C4245" s="3" t="s">
        <v>3899</v>
      </c>
      <c r="D4245" s="4" t="str">
        <f>HYPERLINK("https://12go.asia/en/travel/new-bengaluru-terminal/jabalpur", "12Go Link")</f>
        <v>12Go Link</v>
      </c>
      <c r="E4245" s="3" t="s">
        <v>94</v>
      </c>
      <c r="K4245" s="5"/>
    </row>
    <row r="4246">
      <c r="A4246" s="3" t="s">
        <v>3847</v>
      </c>
      <c r="B4246" s="3" t="s">
        <v>3900</v>
      </c>
      <c r="C4246" s="3" t="s">
        <v>3901</v>
      </c>
      <c r="D4246" s="4" t="str">
        <f>HYPERLINK("https://12go.asia/en/travel/ksr-bangalore/jolarpettai", "12Go Link")</f>
        <v>12Go Link</v>
      </c>
      <c r="E4246" s="3" t="s">
        <v>94</v>
      </c>
      <c r="K4246" s="5"/>
    </row>
    <row r="4247">
      <c r="A4247" s="3" t="s">
        <v>3847</v>
      </c>
      <c r="B4247" s="3" t="s">
        <v>3900</v>
      </c>
      <c r="C4247" s="3" t="s">
        <v>3902</v>
      </c>
      <c r="D4247" s="4" t="str">
        <f>HYPERLINK("https://12go.asia/en/travel/new-bengaluru-terminal/jolarpettai", "12Go Link")</f>
        <v>12Go Link</v>
      </c>
      <c r="E4247" s="3" t="s">
        <v>94</v>
      </c>
      <c r="K4247" s="5"/>
    </row>
    <row r="4248">
      <c r="A4248" s="3" t="s">
        <v>3847</v>
      </c>
      <c r="B4248" s="3" t="s">
        <v>3903</v>
      </c>
      <c r="C4248" s="3" t="s">
        <v>3904</v>
      </c>
      <c r="D4248" s="4" t="str">
        <f>HYPERLINK("https://12go.asia/en/travel/new-bengaluru-terminal/kakinada-town", "12Go Link")</f>
        <v>12Go Link</v>
      </c>
      <c r="E4248" s="3" t="s">
        <v>94</v>
      </c>
      <c r="K4248" s="5"/>
    </row>
    <row r="4249">
      <c r="A4249" s="3" t="s">
        <v>3847</v>
      </c>
      <c r="B4249" s="3" t="s">
        <v>157</v>
      </c>
      <c r="C4249" s="3" t="s">
        <v>3905</v>
      </c>
      <c r="D4249" s="4" t="str">
        <f>HYPERLINK("https://12go.asia/en/travel/yelahanka-junction/kalaburagi-junction", "12Go Link")</f>
        <v>12Go Link</v>
      </c>
      <c r="E4249" s="3" t="s">
        <v>94</v>
      </c>
      <c r="K4249" s="5"/>
    </row>
    <row r="4250">
      <c r="A4250" s="3" t="s">
        <v>3847</v>
      </c>
      <c r="B4250" s="3" t="s">
        <v>3906</v>
      </c>
      <c r="C4250" s="3" t="s">
        <v>3907</v>
      </c>
      <c r="D4250" s="4" t="str">
        <f>HYPERLINK("https://12go.asia/en/travel/new-bengaluru-terminal/karur", "12Go Link")</f>
        <v>12Go Link</v>
      </c>
      <c r="E4250" s="3" t="s">
        <v>94</v>
      </c>
      <c r="K4250" s="5"/>
    </row>
    <row r="4251">
      <c r="A4251" s="3" t="s">
        <v>3847</v>
      </c>
      <c r="B4251" s="3" t="s">
        <v>3908</v>
      </c>
      <c r="C4251" s="3" t="s">
        <v>3909</v>
      </c>
      <c r="D4251" s="4" t="str">
        <f>HYPERLINK("https://12go.asia/en/travel/bangalore/maddur", "12Go Link")</f>
        <v>12Go Link</v>
      </c>
      <c r="E4251" s="3" t="s">
        <v>94</v>
      </c>
      <c r="K4251" s="5"/>
    </row>
    <row r="4252">
      <c r="A4252" s="3" t="s">
        <v>3847</v>
      </c>
      <c r="B4252" s="3" t="s">
        <v>3908</v>
      </c>
      <c r="C4252" s="3" t="s">
        <v>3910</v>
      </c>
      <c r="D4252" s="4" t="str">
        <f>HYPERLINK("https://12go.asia/en/travel/ksr-bangalore/maddur", "12Go Link")</f>
        <v>12Go Link</v>
      </c>
      <c r="E4252" s="3" t="s">
        <v>94</v>
      </c>
      <c r="K4252" s="5"/>
    </row>
    <row r="4253">
      <c r="A4253" s="3" t="s">
        <v>3847</v>
      </c>
      <c r="B4253" s="3" t="s">
        <v>163</v>
      </c>
      <c r="C4253" s="3" t="s">
        <v>3911</v>
      </c>
      <c r="D4253" s="4" t="str">
        <f>HYPERLINK("https://12go.asia/en/travel/new-bengaluru-terminal/miraj-junction", "12Go Link")</f>
        <v>12Go Link</v>
      </c>
      <c r="E4253" s="3" t="s">
        <v>94</v>
      </c>
      <c r="K4253" s="5"/>
    </row>
    <row r="4254">
      <c r="A4254" s="3" t="s">
        <v>3847</v>
      </c>
      <c r="B4254" s="3" t="s">
        <v>3912</v>
      </c>
      <c r="C4254" s="3" t="s">
        <v>3913</v>
      </c>
      <c r="D4254" s="4" t="str">
        <f>HYPERLINK("https://12go.asia/en/travel/bangalore/adoor", "12Go Link")</f>
        <v>12Go Link</v>
      </c>
      <c r="E4254" s="3" t="s">
        <v>8</v>
      </c>
      <c r="K4254" s="5"/>
    </row>
    <row r="4255">
      <c r="A4255" s="3" t="s">
        <v>3847</v>
      </c>
      <c r="B4255" s="3" t="s">
        <v>3914</v>
      </c>
      <c r="C4255" s="3" t="s">
        <v>3915</v>
      </c>
      <c r="D4255" s="4" t="str">
        <f>HYPERLINK("https://12go.asia/en/travel/bangalore/nanded", "12Go Link")</f>
        <v>12Go Link</v>
      </c>
      <c r="E4255" s="3" t="s">
        <v>94</v>
      </c>
      <c r="K4255" s="5"/>
    </row>
    <row r="4256">
      <c r="A4256" s="3" t="s">
        <v>3847</v>
      </c>
      <c r="B4256" s="3" t="s">
        <v>3914</v>
      </c>
      <c r="C4256" s="3" t="s">
        <v>3916</v>
      </c>
      <c r="D4256" s="4" t="str">
        <f>HYPERLINK("https://12go.asia/en/travel/ksr-bangalore/nanded", "12Go Link")</f>
        <v>12Go Link</v>
      </c>
      <c r="E4256" s="3" t="s">
        <v>94</v>
      </c>
      <c r="K4256" s="5"/>
    </row>
    <row r="4257">
      <c r="A4257" s="3" t="s">
        <v>3847</v>
      </c>
      <c r="B4257" s="3" t="s">
        <v>3917</v>
      </c>
      <c r="C4257" s="3" t="s">
        <v>3918</v>
      </c>
      <c r="D4257" s="4" t="str">
        <f>HYPERLINK("https://12go.asia/en/travel/new-bengaluru-terminal/patliputra", "12Go Link")</f>
        <v>12Go Link</v>
      </c>
      <c r="E4257" s="3" t="s">
        <v>94</v>
      </c>
      <c r="K4257" s="5"/>
    </row>
    <row r="4258">
      <c r="A4258" s="3" t="s">
        <v>3847</v>
      </c>
      <c r="B4258" s="3" t="s">
        <v>3919</v>
      </c>
      <c r="C4258" s="3" t="s">
        <v>3920</v>
      </c>
      <c r="D4258" s="4" t="str">
        <f>HYPERLINK("https://12go.asia/en/travel/new-bengaluru-terminal/pune-jn", "12Go Link")</f>
        <v>12Go Link</v>
      </c>
      <c r="E4258" s="3" t="s">
        <v>94</v>
      </c>
      <c r="K4258" s="5"/>
    </row>
    <row r="4259">
      <c r="A4259" s="3" t="s">
        <v>3847</v>
      </c>
      <c r="B4259" s="3" t="s">
        <v>3921</v>
      </c>
      <c r="C4259" s="3" t="s">
        <v>3922</v>
      </c>
      <c r="D4259" s="4" t="str">
        <f>HYPERLINK("https://12go.asia/en/travel/bangalore/rayagada", "12Go Link")</f>
        <v>12Go Link</v>
      </c>
      <c r="E4259" s="3" t="s">
        <v>94</v>
      </c>
      <c r="K4259" s="5"/>
    </row>
    <row r="4260">
      <c r="A4260" s="3" t="s">
        <v>3847</v>
      </c>
      <c r="B4260" s="3" t="s">
        <v>3921</v>
      </c>
      <c r="C4260" s="3" t="s">
        <v>3923</v>
      </c>
      <c r="D4260" s="4" t="str">
        <f>HYPERLINK("https://12go.asia/en/travel/new-bengaluru-terminal/rayagada", "12Go Link")</f>
        <v>12Go Link</v>
      </c>
      <c r="E4260" s="3" t="s">
        <v>94</v>
      </c>
      <c r="K4260" s="5"/>
    </row>
    <row r="4261">
      <c r="A4261" s="3" t="s">
        <v>3847</v>
      </c>
      <c r="B4261" s="3" t="s">
        <v>3924</v>
      </c>
      <c r="C4261" s="3" t="s">
        <v>3925</v>
      </c>
      <c r="D4261" s="4" t="str">
        <f>HYPERLINK("https://12go.asia/en/travel/new-bengaluru-terminal/tatanagar", "12Go Link")</f>
        <v>12Go Link</v>
      </c>
      <c r="E4261" s="3" t="s">
        <v>94</v>
      </c>
      <c r="K4261" s="5"/>
    </row>
    <row r="4262">
      <c r="A4262" s="3" t="s">
        <v>3847</v>
      </c>
      <c r="B4262" s="3" t="s">
        <v>3926</v>
      </c>
      <c r="C4262" s="3" t="s">
        <v>3927</v>
      </c>
      <c r="D4262" s="4" t="str">
        <f>HYPERLINK("https://12go.asia/en/travel/ksr-bangalore/tiruppur", "12Go Link")</f>
        <v>12Go Link</v>
      </c>
      <c r="E4262" s="3" t="s">
        <v>94</v>
      </c>
      <c r="K4262" s="5"/>
    </row>
    <row r="4263">
      <c r="A4263" s="3" t="s">
        <v>3847</v>
      </c>
      <c r="B4263" s="3" t="s">
        <v>3928</v>
      </c>
      <c r="C4263" s="3" t="s">
        <v>3929</v>
      </c>
      <c r="D4263" s="4" t="str">
        <f>HYPERLINK("https://12go.asia/en/travel/bangalore/tiruvallur", "12Go Link")</f>
        <v>12Go Link</v>
      </c>
      <c r="E4263" s="3" t="s">
        <v>94</v>
      </c>
      <c r="K4263" s="5"/>
    </row>
    <row r="4264">
      <c r="A4264" s="3" t="s">
        <v>3847</v>
      </c>
      <c r="B4264" s="3" t="s">
        <v>3928</v>
      </c>
      <c r="C4264" s="3" t="s">
        <v>3930</v>
      </c>
      <c r="D4264" s="4" t="str">
        <f>HYPERLINK("https://12go.asia/en/travel/ksr-bangalore/tiruvallur", "12Go Link")</f>
        <v>12Go Link</v>
      </c>
      <c r="E4264" s="3" t="s">
        <v>94</v>
      </c>
      <c r="K4264" s="5"/>
    </row>
    <row r="4265">
      <c r="A4265" s="3" t="s">
        <v>3931</v>
      </c>
      <c r="B4265" s="3" t="s">
        <v>3746</v>
      </c>
      <c r="C4265" s="3" t="s">
        <v>3932</v>
      </c>
      <c r="D4265" s="4" t="str">
        <f>HYPERLINK("https://12go.asia/en/travel/bapatla/ongole", "12Go Link")</f>
        <v>12Go Link</v>
      </c>
      <c r="E4265" s="3" t="s">
        <v>94</v>
      </c>
      <c r="K4265" s="5"/>
    </row>
    <row r="4266">
      <c r="A4266" s="3" t="s">
        <v>3933</v>
      </c>
      <c r="B4266" s="3" t="s">
        <v>3934</v>
      </c>
      <c r="C4266" s="3" t="s">
        <v>3935</v>
      </c>
      <c r="D4266" s="4" t="str">
        <f>HYPERLINK("https://12go.asia/en/travel/barabanki-junction/daryabad", "12Go Link")</f>
        <v>12Go Link</v>
      </c>
      <c r="E4266" s="3" t="s">
        <v>94</v>
      </c>
      <c r="K4266" s="5"/>
    </row>
    <row r="4267">
      <c r="A4267" s="3" t="s">
        <v>3933</v>
      </c>
      <c r="B4267" s="3" t="s">
        <v>3934</v>
      </c>
      <c r="C4267" s="3" t="s">
        <v>3936</v>
      </c>
      <c r="D4267" s="4" t="str">
        <f>HYPERLINK("https://12go.asia/en/travel/barabanki/daryabad", "12Go Link")</f>
        <v>12Go Link</v>
      </c>
      <c r="E4267" s="3" t="s">
        <v>94</v>
      </c>
      <c r="K4267" s="5"/>
    </row>
    <row r="4268">
      <c r="A4268" s="3" t="s">
        <v>3933</v>
      </c>
      <c r="B4268" s="3" t="s">
        <v>3647</v>
      </c>
      <c r="C4268" s="3" t="s">
        <v>3937</v>
      </c>
      <c r="D4268" s="4" t="str">
        <f>HYPERLINK("https://12go.asia/en/travel/barabanki-junction/delhi", "12Go Link")</f>
        <v>12Go Link</v>
      </c>
      <c r="E4268" s="3" t="s">
        <v>94</v>
      </c>
      <c r="K4268" s="5"/>
    </row>
    <row r="4269">
      <c r="A4269" s="3" t="s">
        <v>3675</v>
      </c>
      <c r="B4269" s="3" t="s">
        <v>3646</v>
      </c>
      <c r="C4269" s="3" t="s">
        <v>3938</v>
      </c>
      <c r="D4269" s="4" t="str">
        <f>HYPERLINK("https://12go.asia/en/travel/bareilly/aligarh-junction", "12Go Link")</f>
        <v>12Go Link</v>
      </c>
      <c r="E4269" s="3" t="s">
        <v>94</v>
      </c>
      <c r="K4269" s="5"/>
    </row>
    <row r="4270">
      <c r="A4270" s="3" t="s">
        <v>3675</v>
      </c>
      <c r="B4270" s="3" t="s">
        <v>3939</v>
      </c>
      <c r="C4270" s="3" t="s">
        <v>3940</v>
      </c>
      <c r="D4270" s="4" t="str">
        <f>HYPERLINK("https://12go.asia/en/travel/bareilly/chandigarh", "12Go Link")</f>
        <v>12Go Link</v>
      </c>
      <c r="E4270" s="3" t="s">
        <v>94</v>
      </c>
      <c r="K4270" s="5"/>
    </row>
    <row r="4271">
      <c r="A4271" s="3" t="s">
        <v>3675</v>
      </c>
      <c r="B4271" s="3" t="s">
        <v>3655</v>
      </c>
      <c r="C4271" s="3" t="s">
        <v>3941</v>
      </c>
      <c r="D4271" s="4" t="str">
        <f>HYPERLINK("https://12go.asia/en/travel/bareilly/haridwar-jn", "12Go Link")</f>
        <v>12Go Link</v>
      </c>
      <c r="E4271" s="3" t="s">
        <v>94</v>
      </c>
      <c r="K4271" s="5"/>
    </row>
    <row r="4272">
      <c r="A4272" s="3" t="s">
        <v>3675</v>
      </c>
      <c r="B4272" s="3" t="s">
        <v>3798</v>
      </c>
      <c r="C4272" s="3" t="s">
        <v>3942</v>
      </c>
      <c r="D4272" s="4" t="str">
        <f>HYPERLINK("https://12go.asia/en/travel/bareilly/new-jalpaiguri", "12Go Link")</f>
        <v>12Go Link</v>
      </c>
      <c r="E4272" s="3" t="s">
        <v>94</v>
      </c>
      <c r="K4272" s="5"/>
    </row>
    <row r="4273">
      <c r="A4273" s="3" t="s">
        <v>3675</v>
      </c>
      <c r="B4273" s="3" t="s">
        <v>3798</v>
      </c>
      <c r="C4273" s="3" t="s">
        <v>3943</v>
      </c>
      <c r="D4273" s="4" t="str">
        <f>HYPERLINK("https://12go.asia/en/travel/bareilly/siliguri", "12Go Link")</f>
        <v>12Go Link</v>
      </c>
      <c r="E4273" s="3" t="s">
        <v>94</v>
      </c>
      <c r="K4273" s="5"/>
    </row>
    <row r="4274">
      <c r="A4274" s="3" t="s">
        <v>3944</v>
      </c>
      <c r="B4274" s="3" t="s">
        <v>3945</v>
      </c>
      <c r="C4274" s="3" t="s">
        <v>3946</v>
      </c>
      <c r="D4274" s="4" t="str">
        <f>HYPERLINK("https://12go.asia/en/travel/barhiya/jasidih-deoghar", "12Go Link")</f>
        <v>12Go Link</v>
      </c>
      <c r="E4274" s="3" t="s">
        <v>94</v>
      </c>
      <c r="K4274" s="5"/>
    </row>
    <row r="4275">
      <c r="A4275" s="3" t="s">
        <v>3944</v>
      </c>
      <c r="B4275" s="3" t="s">
        <v>3945</v>
      </c>
      <c r="C4275" s="3" t="s">
        <v>3947</v>
      </c>
      <c r="D4275" s="4" t="str">
        <f>HYPERLINK("https://12go.asia/en/travel/barhiya/jasidih-junction", "12Go Link")</f>
        <v>12Go Link</v>
      </c>
      <c r="E4275" s="3" t="s">
        <v>94</v>
      </c>
      <c r="K4275" s="5"/>
    </row>
    <row r="4276">
      <c r="A4276" s="3" t="s">
        <v>3948</v>
      </c>
      <c r="B4276" s="3" t="s">
        <v>3690</v>
      </c>
      <c r="C4276" s="3" t="s">
        <v>3949</v>
      </c>
      <c r="D4276" s="4" t="str">
        <f>HYPERLINK("https://12go.asia/en/travel/barmer/mumbai", "12Go Link")</f>
        <v>12Go Link</v>
      </c>
      <c r="E4276" s="3" t="s">
        <v>94</v>
      </c>
      <c r="K4276" s="5"/>
    </row>
    <row r="4277">
      <c r="A4277" s="3" t="s">
        <v>3948</v>
      </c>
      <c r="B4277" s="3" t="s">
        <v>3950</v>
      </c>
      <c r="C4277" s="3" t="s">
        <v>3951</v>
      </c>
      <c r="D4277" s="4" t="str">
        <f>HYPERLINK("https://12go.asia/en/travel/barmer/saharanpur", "12Go Link")</f>
        <v>12Go Link</v>
      </c>
      <c r="E4277" s="3" t="s">
        <v>94</v>
      </c>
      <c r="K4277" s="5"/>
    </row>
    <row r="4278">
      <c r="A4278" s="3" t="s">
        <v>3952</v>
      </c>
      <c r="B4278" s="3" t="s">
        <v>3690</v>
      </c>
      <c r="C4278" s="3" t="s">
        <v>3953</v>
      </c>
      <c r="D4278" s="4" t="str">
        <f>HYPERLINK("https://12go.asia/en/travel/basti/lokmanya-tilak-term", "12Go Link")</f>
        <v>12Go Link</v>
      </c>
      <c r="E4278" s="3" t="s">
        <v>94</v>
      </c>
      <c r="K4278" s="5"/>
    </row>
    <row r="4279">
      <c r="A4279" s="3" t="s">
        <v>3954</v>
      </c>
      <c r="B4279" s="3" t="s">
        <v>3955</v>
      </c>
      <c r="C4279" s="3" t="s">
        <v>3956</v>
      </c>
      <c r="D4279" s="4" t="str">
        <f>HYPERLINK("https://12go.asia/en/travel/bathinda/kanpur", "12Go Link")</f>
        <v>12Go Link</v>
      </c>
      <c r="E4279" s="3" t="s">
        <v>94</v>
      </c>
      <c r="K4279" s="5"/>
    </row>
    <row r="4280">
      <c r="A4280" s="3" t="s">
        <v>3954</v>
      </c>
      <c r="B4280" s="3" t="s">
        <v>3955</v>
      </c>
      <c r="C4280" s="3" t="s">
        <v>3957</v>
      </c>
      <c r="D4280" s="4" t="str">
        <f>HYPERLINK("https://12go.asia/en/travel/bathinda/kanpur-central", "12Go Link")</f>
        <v>12Go Link</v>
      </c>
      <c r="E4280" s="3" t="s">
        <v>94</v>
      </c>
      <c r="K4280" s="5"/>
    </row>
    <row r="4281">
      <c r="A4281" s="3" t="s">
        <v>3958</v>
      </c>
      <c r="B4281" s="3" t="s">
        <v>163</v>
      </c>
      <c r="C4281" s="3" t="s">
        <v>3959</v>
      </c>
      <c r="D4281" s="4" t="str">
        <f>HYPERLINK("https://12go.asia/en/travel/beas/maharashtra", "12Go Link")</f>
        <v>12Go Link</v>
      </c>
      <c r="E4281" s="3" t="s">
        <v>94</v>
      </c>
      <c r="K4281" s="5"/>
    </row>
    <row r="4282">
      <c r="A4282" s="3" t="s">
        <v>3960</v>
      </c>
      <c r="B4282" s="3" t="s">
        <v>3917</v>
      </c>
      <c r="C4282" s="3" t="s">
        <v>3961</v>
      </c>
      <c r="D4282" s="4" t="str">
        <f>HYPERLINK("https://12go.asia/en/travel/begu-sarai/patliputra", "12Go Link")</f>
        <v>12Go Link</v>
      </c>
      <c r="E4282" s="3" t="s">
        <v>94</v>
      </c>
      <c r="K4282" s="5"/>
    </row>
    <row r="4283">
      <c r="A4283" s="3" t="s">
        <v>3960</v>
      </c>
      <c r="B4283" s="3" t="s">
        <v>3917</v>
      </c>
      <c r="C4283" s="3" t="s">
        <v>3962</v>
      </c>
      <c r="D4283" s="4" t="str">
        <f>HYPERLINK("https://12go.asia/en/travel/begu-sarai/patna-jn", "12Go Link")</f>
        <v>12Go Link</v>
      </c>
      <c r="E4283" s="3" t="s">
        <v>94</v>
      </c>
      <c r="K4283" s="5"/>
    </row>
    <row r="4284">
      <c r="A4284" s="3" t="s">
        <v>3960</v>
      </c>
      <c r="B4284" s="3" t="s">
        <v>3917</v>
      </c>
      <c r="C4284" s="3" t="s">
        <v>3963</v>
      </c>
      <c r="D4284" s="4" t="str">
        <f>HYPERLINK("https://12go.asia/en/travel/begu-sarai/rajendra-nagar", "12Go Link")</f>
        <v>12Go Link</v>
      </c>
      <c r="E4284" s="3" t="s">
        <v>94</v>
      </c>
      <c r="K4284" s="5"/>
    </row>
    <row r="4285">
      <c r="A4285" s="3" t="s">
        <v>3964</v>
      </c>
      <c r="B4285" s="3" t="s">
        <v>3965</v>
      </c>
      <c r="C4285" s="3" t="s">
        <v>3966</v>
      </c>
      <c r="D4285" s="4" t="str">
        <f>HYPERLINK("https://12go.asia/en/travel/belgaum/ajmer-jn", "12Go Link")</f>
        <v>12Go Link</v>
      </c>
      <c r="E4285" s="3" t="s">
        <v>94</v>
      </c>
      <c r="K4285" s="5"/>
    </row>
    <row r="4286">
      <c r="A4286" s="3" t="s">
        <v>3964</v>
      </c>
      <c r="B4286" s="3" t="s">
        <v>3682</v>
      </c>
      <c r="C4286" s="3" t="s">
        <v>3967</v>
      </c>
      <c r="D4286" s="4" t="str">
        <f>HYPERLINK("https://12go.asia/en/travel/belgaum/kalyan-jn", "12Go Link")</f>
        <v>12Go Link</v>
      </c>
      <c r="E4286" s="3" t="s">
        <v>94</v>
      </c>
      <c r="K4286" s="5"/>
    </row>
    <row r="4287">
      <c r="A4287" s="3" t="s">
        <v>3964</v>
      </c>
      <c r="B4287" s="3" t="s">
        <v>3682</v>
      </c>
      <c r="C4287" s="3" t="s">
        <v>3968</v>
      </c>
      <c r="D4287" s="4" t="str">
        <f>HYPERLINK("https://12go.asia/en/travel/belagavi/kalyan", "12Go Link")</f>
        <v>12Go Link</v>
      </c>
      <c r="E4287" s="3" t="s">
        <v>94</v>
      </c>
      <c r="K4287" s="5"/>
    </row>
    <row r="4288">
      <c r="A4288" s="3" t="s">
        <v>3964</v>
      </c>
      <c r="B4288" s="3" t="s">
        <v>163</v>
      </c>
      <c r="C4288" s="3" t="s">
        <v>3969</v>
      </c>
      <c r="D4288" s="4" t="str">
        <f>HYPERLINK("https://12go.asia/en/travel/belagavi/maharashtra", "12Go Link")</f>
        <v>12Go Link</v>
      </c>
      <c r="E4288" s="3" t="s">
        <v>94</v>
      </c>
      <c r="K4288" s="5"/>
    </row>
    <row r="4289">
      <c r="A4289" s="3" t="s">
        <v>3964</v>
      </c>
      <c r="B4289" s="3" t="s">
        <v>3970</v>
      </c>
      <c r="C4289" s="3" t="s">
        <v>3971</v>
      </c>
      <c r="D4289" s="4" t="str">
        <f>HYPERLINK("https://12go.asia/en/travel/belagavi/navi-mumbai", "12Go Link")</f>
        <v>12Go Link</v>
      </c>
      <c r="E4289" s="3" t="s">
        <v>94</v>
      </c>
      <c r="K4289" s="5"/>
    </row>
    <row r="4290">
      <c r="A4290" s="3" t="s">
        <v>3964</v>
      </c>
      <c r="B4290" s="3" t="s">
        <v>3972</v>
      </c>
      <c r="C4290" s="3" t="s">
        <v>3973</v>
      </c>
      <c r="D4290" s="4" t="str">
        <f>HYPERLINK("https://12go.asia/en/travel/belagavi/pushkar", "12Go Link")</f>
        <v>12Go Link</v>
      </c>
      <c r="E4290" s="3" t="s">
        <v>94</v>
      </c>
      <c r="K4290" s="5"/>
    </row>
    <row r="4291">
      <c r="A4291" s="3" t="s">
        <v>3974</v>
      </c>
      <c r="B4291" s="3" t="s">
        <v>3647</v>
      </c>
      <c r="C4291" s="3" t="s">
        <v>3975</v>
      </c>
      <c r="D4291" s="4" t="str">
        <f>HYPERLINK("https://12go.asia/en/travel/belha/delhi", "12Go Link")</f>
        <v>12Go Link</v>
      </c>
      <c r="E4291" s="3" t="s">
        <v>94</v>
      </c>
      <c r="K4291" s="5"/>
    </row>
    <row r="4292">
      <c r="A4292" s="3" t="s">
        <v>3974</v>
      </c>
      <c r="B4292" s="3" t="s">
        <v>3647</v>
      </c>
      <c r="C4292" s="3" t="s">
        <v>3976</v>
      </c>
      <c r="D4292" s="4" t="str">
        <f>HYPERLINK("https://12go.asia/en/travel/belha/hazrat-nizamuddin", "12Go Link")</f>
        <v>12Go Link</v>
      </c>
      <c r="E4292" s="3" t="s">
        <v>94</v>
      </c>
      <c r="K4292" s="5"/>
    </row>
    <row r="4293">
      <c r="A4293" s="3" t="s">
        <v>3974</v>
      </c>
      <c r="B4293" s="3" t="s">
        <v>3842</v>
      </c>
      <c r="C4293" s="3" t="s">
        <v>3977</v>
      </c>
      <c r="D4293" s="4" t="str">
        <f>HYPERLINK("https://12go.asia/en/travel/belha/new-delhi", "12Go Link")</f>
        <v>12Go Link</v>
      </c>
      <c r="E4293" s="3" t="s">
        <v>94</v>
      </c>
      <c r="K4293" s="5"/>
    </row>
    <row r="4294">
      <c r="A4294" s="3" t="s">
        <v>3978</v>
      </c>
      <c r="B4294" s="3" t="s">
        <v>3647</v>
      </c>
      <c r="C4294" s="3" t="s">
        <v>3979</v>
      </c>
      <c r="D4294" s="4" t="str">
        <f>HYPERLINK("https://12go.asia/en/travel/bettiah/anand-vihar-trm", "12Go Link")</f>
        <v>12Go Link</v>
      </c>
      <c r="E4294" s="3" t="s">
        <v>94</v>
      </c>
      <c r="K4294" s="5"/>
    </row>
    <row r="4295">
      <c r="A4295" s="3" t="s">
        <v>3980</v>
      </c>
      <c r="B4295" s="3" t="s">
        <v>3598</v>
      </c>
      <c r="C4295" s="3" t="s">
        <v>3981</v>
      </c>
      <c r="D4295" s="4" t="str">
        <f>HYPERLINK("https://12go.asia/en/travel/betul/agra", "12Go Link")</f>
        <v>12Go Link</v>
      </c>
      <c r="E4295" s="3" t="s">
        <v>94</v>
      </c>
      <c r="K4295" s="5"/>
    </row>
    <row r="4296">
      <c r="A4296" s="3" t="s">
        <v>3980</v>
      </c>
      <c r="B4296" s="3" t="s">
        <v>3598</v>
      </c>
      <c r="C4296" s="3" t="s">
        <v>3982</v>
      </c>
      <c r="D4296" s="4" t="str">
        <f>HYPERLINK("https://12go.asia/en/travel/betul/agra-cantt", "12Go Link")</f>
        <v>12Go Link</v>
      </c>
      <c r="E4296" s="3" t="s">
        <v>94</v>
      </c>
      <c r="K4296" s="5"/>
    </row>
    <row r="4297">
      <c r="A4297" s="3" t="s">
        <v>3980</v>
      </c>
      <c r="B4297" s="3" t="s">
        <v>3647</v>
      </c>
      <c r="C4297" s="3" t="s">
        <v>3983</v>
      </c>
      <c r="D4297" s="4" t="str">
        <f>HYPERLINK("https://12go.asia/en/travel/betul/delhi", "12Go Link")</f>
        <v>12Go Link</v>
      </c>
      <c r="E4297" s="3" t="s">
        <v>94</v>
      </c>
      <c r="K4297" s="5"/>
    </row>
    <row r="4298">
      <c r="A4298" s="3" t="s">
        <v>3980</v>
      </c>
      <c r="B4298" s="3" t="s">
        <v>3647</v>
      </c>
      <c r="C4298" s="3" t="s">
        <v>3984</v>
      </c>
      <c r="D4298" s="4" t="str">
        <f>HYPERLINK("https://12go.asia/en/travel/betul/delhi-safdarjung", "12Go Link")</f>
        <v>12Go Link</v>
      </c>
      <c r="E4298" s="3" t="s">
        <v>94</v>
      </c>
      <c r="K4298" s="5"/>
    </row>
    <row r="4299">
      <c r="A4299" s="3" t="s">
        <v>3980</v>
      </c>
      <c r="B4299" s="3" t="s">
        <v>3647</v>
      </c>
      <c r="C4299" s="3" t="s">
        <v>3985</v>
      </c>
      <c r="D4299" s="4" t="str">
        <f>HYPERLINK("https://12go.asia/en/travel/betul/hazrat-nizamuddin", "12Go Link")</f>
        <v>12Go Link</v>
      </c>
      <c r="E4299" s="3" t="s">
        <v>94</v>
      </c>
      <c r="K4299" s="5"/>
    </row>
    <row r="4300">
      <c r="A4300" s="3" t="s">
        <v>3980</v>
      </c>
      <c r="B4300" s="3" t="s">
        <v>3986</v>
      </c>
      <c r="C4300" s="3" t="s">
        <v>3987</v>
      </c>
      <c r="D4300" s="4" t="str">
        <f>HYPERLINK("https://12go.asia/en/travel/betul/jaipur", "12Go Link")</f>
        <v>12Go Link</v>
      </c>
      <c r="E4300" s="3" t="s">
        <v>94</v>
      </c>
      <c r="K4300" s="5"/>
    </row>
    <row r="4301">
      <c r="A4301" s="3" t="s">
        <v>3980</v>
      </c>
      <c r="B4301" s="3" t="s">
        <v>3842</v>
      </c>
      <c r="C4301" s="3" t="s">
        <v>3988</v>
      </c>
      <c r="D4301" s="4" t="str">
        <f>HYPERLINK("https://12go.asia/en/travel/betul/new-delhi", "12Go Link")</f>
        <v>12Go Link</v>
      </c>
      <c r="E4301" s="3" t="s">
        <v>94</v>
      </c>
      <c r="K4301" s="5"/>
    </row>
    <row r="4302">
      <c r="A4302" s="3" t="s">
        <v>3980</v>
      </c>
      <c r="B4302" s="3" t="s">
        <v>3633</v>
      </c>
      <c r="C4302" s="3" t="s">
        <v>3989</v>
      </c>
      <c r="D4302" s="4" t="str">
        <f>HYPERLINK("https://12go.asia/en/travel/betul/rajasthan", "12Go Link")</f>
        <v>12Go Link</v>
      </c>
      <c r="E4302" s="3" t="s">
        <v>94</v>
      </c>
      <c r="K4302" s="5"/>
    </row>
    <row r="4303">
      <c r="A4303" s="3" t="s">
        <v>3990</v>
      </c>
      <c r="B4303" s="3" t="s">
        <v>3752</v>
      </c>
      <c r="C4303" s="3" t="s">
        <v>3991</v>
      </c>
      <c r="D4303" s="4" t="str">
        <f>HYPERLINK("https://12go.asia/en/travel/bhabua-road/allahabad", "12Go Link")</f>
        <v>12Go Link</v>
      </c>
      <c r="E4303" s="3" t="s">
        <v>94</v>
      </c>
      <c r="K4303" s="5"/>
    </row>
    <row r="4304">
      <c r="A4304" s="3" t="s">
        <v>3990</v>
      </c>
      <c r="B4304" s="3" t="s">
        <v>3752</v>
      </c>
      <c r="C4304" s="3" t="s">
        <v>3992</v>
      </c>
      <c r="D4304" s="4" t="str">
        <f>HYPERLINK("https://12go.asia/en/travel/bhabua-road/prayagraj-junction", "12Go Link")</f>
        <v>12Go Link</v>
      </c>
      <c r="E4304" s="3" t="s">
        <v>94</v>
      </c>
      <c r="K4304" s="5"/>
    </row>
    <row r="4305">
      <c r="A4305" s="3" t="s">
        <v>3993</v>
      </c>
      <c r="B4305" s="3" t="s">
        <v>3994</v>
      </c>
      <c r="C4305" s="3" t="s">
        <v>3995</v>
      </c>
      <c r="D4305" s="4" t="str">
        <f>HYPERLINK("https://12go.asia/en/travel/bhadohi/lucknow", "12Go Link")</f>
        <v>12Go Link</v>
      </c>
      <c r="E4305" s="3" t="s">
        <v>94</v>
      </c>
      <c r="K4305" s="5"/>
    </row>
    <row r="4306">
      <c r="A4306" s="3" t="s">
        <v>3993</v>
      </c>
      <c r="B4306" s="3" t="s">
        <v>3994</v>
      </c>
      <c r="C4306" s="3" t="s">
        <v>3996</v>
      </c>
      <c r="D4306" s="4" t="str">
        <f>HYPERLINK("https://12go.asia/en/travel/bhadohi/lucknow-nr", "12Go Link")</f>
        <v>12Go Link</v>
      </c>
      <c r="E4306" s="3" t="s">
        <v>94</v>
      </c>
      <c r="K4306" s="5"/>
    </row>
    <row r="4307">
      <c r="A4307" s="3" t="s">
        <v>3997</v>
      </c>
      <c r="B4307" s="3" t="s">
        <v>3647</v>
      </c>
      <c r="C4307" s="3" t="s">
        <v>3998</v>
      </c>
      <c r="D4307" s="4" t="str">
        <f>HYPERLINK("https://12go.asia/en/travel/bhadrakh/anand-vihar-trm", "12Go Link")</f>
        <v>12Go Link</v>
      </c>
      <c r="E4307" s="3" t="s">
        <v>94</v>
      </c>
      <c r="K4307" s="5"/>
    </row>
    <row r="4308">
      <c r="A4308" s="3" t="s">
        <v>3997</v>
      </c>
      <c r="B4308" s="3" t="s">
        <v>3842</v>
      </c>
      <c r="C4308" s="3" t="s">
        <v>3999</v>
      </c>
      <c r="D4308" s="4" t="str">
        <f>HYPERLINK("https://12go.asia/en/travel/bhadrakh/new-delhi", "12Go Link")</f>
        <v>12Go Link</v>
      </c>
      <c r="E4308" s="3" t="s">
        <v>94</v>
      </c>
      <c r="K4308" s="5"/>
    </row>
    <row r="4309">
      <c r="A4309" s="3" t="s">
        <v>4000</v>
      </c>
      <c r="B4309" s="3" t="s">
        <v>4001</v>
      </c>
      <c r="C4309" s="3" t="s">
        <v>4002</v>
      </c>
      <c r="D4309" s="4" t="str">
        <f>HYPERLINK("https://12go.asia/en/travel/bhagalpur/bihar", "12Go Link")</f>
        <v>12Go Link</v>
      </c>
      <c r="E4309" s="3" t="s">
        <v>94</v>
      </c>
      <c r="K4309" s="5"/>
    </row>
    <row r="4310">
      <c r="A4310" s="3" t="s">
        <v>4000</v>
      </c>
      <c r="B4310" s="3" t="s">
        <v>4003</v>
      </c>
      <c r="C4310" s="3" t="s">
        <v>4004</v>
      </c>
      <c r="D4310" s="4" t="str">
        <f>HYPERLINK("https://12go.asia/en/travel/bhagalpur/jammu-and-kashmir", "12Go Link")</f>
        <v>12Go Link</v>
      </c>
      <c r="E4310" s="3" t="s">
        <v>94</v>
      </c>
      <c r="K4310" s="5"/>
    </row>
    <row r="4311">
      <c r="A4311" s="3" t="s">
        <v>4000</v>
      </c>
      <c r="B4311" s="3" t="s">
        <v>4005</v>
      </c>
      <c r="C4311" s="3" t="s">
        <v>4006</v>
      </c>
      <c r="D4311" s="4" t="str">
        <f>HYPERLINK("https://12go.asia/en/travel/bhagalpur/jammu-kashmir", "12Go Link")</f>
        <v>12Go Link</v>
      </c>
      <c r="E4311" s="3" t="s">
        <v>94</v>
      </c>
      <c r="K4311" s="5"/>
    </row>
    <row r="4312">
      <c r="A4312" s="3" t="s">
        <v>4000</v>
      </c>
      <c r="B4312" s="3" t="s">
        <v>3945</v>
      </c>
      <c r="C4312" s="3" t="s">
        <v>4007</v>
      </c>
      <c r="D4312" s="4" t="str">
        <f>HYPERLINK("https://12go.asia/en/travel/bhagalpur/jasidih-deoghar", "12Go Link")</f>
        <v>12Go Link</v>
      </c>
      <c r="E4312" s="3" t="s">
        <v>94</v>
      </c>
      <c r="K4312" s="5"/>
    </row>
    <row r="4313">
      <c r="A4313" s="3" t="s">
        <v>4000</v>
      </c>
      <c r="B4313" s="3" t="s">
        <v>3945</v>
      </c>
      <c r="C4313" s="3" t="s">
        <v>4008</v>
      </c>
      <c r="D4313" s="4" t="str">
        <f>HYPERLINK("https://12go.asia/en/travel/bhagalpur/jasidih-junction", "12Go Link")</f>
        <v>12Go Link</v>
      </c>
      <c r="E4313" s="3" t="s">
        <v>94</v>
      </c>
      <c r="K4313" s="5"/>
    </row>
    <row r="4314">
      <c r="A4314" s="3" t="s">
        <v>3827</v>
      </c>
      <c r="B4314" s="3" t="s">
        <v>167</v>
      </c>
      <c r="C4314" s="3" t="s">
        <v>4009</v>
      </c>
      <c r="D4314" s="4" t="str">
        <f>HYPERLINK("https://12go.asia/en/travel/bharatpur-jn/mathura-jn", "12Go Link")</f>
        <v>12Go Link</v>
      </c>
      <c r="E4314" s="3" t="s">
        <v>94</v>
      </c>
      <c r="K4314" s="5"/>
    </row>
    <row r="4315">
      <c r="A4315" s="3" t="s">
        <v>3827</v>
      </c>
      <c r="B4315" s="3" t="s">
        <v>3771</v>
      </c>
      <c r="C4315" s="3" t="s">
        <v>4010</v>
      </c>
      <c r="D4315" s="4" t="str">
        <f>HYPERLINK("https://12go.asia/en/travel/bharatpur-rajasthan/taj-mahal", "12Go Link")</f>
        <v>12Go Link</v>
      </c>
      <c r="E4315" s="3" t="s">
        <v>94</v>
      </c>
      <c r="K4315" s="5"/>
    </row>
    <row r="4316">
      <c r="A4316" s="3" t="s">
        <v>3827</v>
      </c>
      <c r="B4316" s="3" t="s">
        <v>189</v>
      </c>
      <c r="C4316" s="3" t="s">
        <v>4011</v>
      </c>
      <c r="D4316" s="4" t="str">
        <f>HYPERLINK("https://12go.asia/en/travel/bharatpur-rajasthan/vrindavan", "12Go Link")</f>
        <v>12Go Link</v>
      </c>
      <c r="E4316" s="3" t="s">
        <v>94</v>
      </c>
      <c r="K4316" s="5"/>
    </row>
    <row r="4317">
      <c r="A4317" s="3" t="s">
        <v>4012</v>
      </c>
      <c r="B4317" s="3" t="s">
        <v>4013</v>
      </c>
      <c r="C4317" s="3" t="s">
        <v>4014</v>
      </c>
      <c r="D4317" s="4" t="str">
        <f>HYPERLINK("https://12go.asia/en/travel/bharuch/daman", "12Go Link")</f>
        <v>12Go Link</v>
      </c>
      <c r="E4317" s="3" t="s">
        <v>94</v>
      </c>
      <c r="K4317" s="5"/>
    </row>
    <row r="4318">
      <c r="A4318" s="3" t="s">
        <v>4012</v>
      </c>
      <c r="B4318" s="3" t="s">
        <v>4015</v>
      </c>
      <c r="C4318" s="3" t="s">
        <v>4016</v>
      </c>
      <c r="D4318" s="4" t="str">
        <f>HYPERLINK("https://12go.asia/en/travel/bharuch-junction/gandhidham-bg", "12Go Link")</f>
        <v>12Go Link</v>
      </c>
      <c r="E4318" s="3" t="s">
        <v>94</v>
      </c>
      <c r="K4318" s="5"/>
    </row>
    <row r="4319">
      <c r="A4319" s="3" t="s">
        <v>4012</v>
      </c>
      <c r="B4319" s="3" t="s">
        <v>4015</v>
      </c>
      <c r="C4319" s="3" t="s">
        <v>4017</v>
      </c>
      <c r="D4319" s="4" t="str">
        <f>HYPERLINK("https://12go.asia/en/travel/bharuch/gandhidham", "12Go Link")</f>
        <v>12Go Link</v>
      </c>
      <c r="E4319" s="3" t="s">
        <v>94</v>
      </c>
      <c r="K4319" s="5"/>
    </row>
    <row r="4320">
      <c r="A4320" s="3" t="s">
        <v>4012</v>
      </c>
      <c r="B4320" s="3" t="s">
        <v>3682</v>
      </c>
      <c r="C4320" s="3" t="s">
        <v>4018</v>
      </c>
      <c r="D4320" s="4" t="str">
        <f>HYPERLINK("https://12go.asia/en/travel/bharuch-junction/kalyan-jn", "12Go Link")</f>
        <v>12Go Link</v>
      </c>
      <c r="E4320" s="3" t="s">
        <v>94</v>
      </c>
      <c r="K4320" s="5"/>
    </row>
    <row r="4321">
      <c r="A4321" s="3" t="s">
        <v>4012</v>
      </c>
      <c r="B4321" s="3" t="s">
        <v>3682</v>
      </c>
      <c r="C4321" s="3" t="s">
        <v>4019</v>
      </c>
      <c r="D4321" s="4" t="str">
        <f>HYPERLINK("https://12go.asia/en/travel/bharuch/kalyan", "12Go Link")</f>
        <v>12Go Link</v>
      </c>
      <c r="E4321" s="3" t="s">
        <v>94</v>
      </c>
      <c r="K4321" s="5"/>
    </row>
    <row r="4322">
      <c r="A4322" s="3" t="s">
        <v>4012</v>
      </c>
      <c r="B4322" s="3" t="s">
        <v>4020</v>
      </c>
      <c r="C4322" s="3" t="s">
        <v>4021</v>
      </c>
      <c r="D4322" s="4" t="str">
        <f>HYPERLINK("https://12go.asia/en/travel/bharuch-junction/ekta-nagar", "12Go Link")</f>
        <v>12Go Link</v>
      </c>
      <c r="E4322" s="3" t="s">
        <v>94</v>
      </c>
      <c r="K4322" s="5"/>
    </row>
    <row r="4323">
      <c r="A4323" s="3" t="s">
        <v>4012</v>
      </c>
      <c r="B4323" s="3" t="s">
        <v>4020</v>
      </c>
      <c r="C4323" s="3" t="s">
        <v>4022</v>
      </c>
      <c r="D4323" s="4" t="str">
        <f>HYPERLINK("https://12go.asia/en/travel/bharuch/kevadia", "12Go Link")</f>
        <v>12Go Link</v>
      </c>
      <c r="E4323" s="3" t="s">
        <v>94</v>
      </c>
      <c r="K4323" s="5"/>
    </row>
    <row r="4324">
      <c r="A4324" s="3" t="s">
        <v>4012</v>
      </c>
      <c r="B4324" s="3" t="s">
        <v>4023</v>
      </c>
      <c r="C4324" s="3" t="s">
        <v>4024</v>
      </c>
      <c r="D4324" s="4" t="str">
        <f>HYPERLINK("https://12go.asia/en/travel/bharuch-junction/ratlam", "12Go Link")</f>
        <v>12Go Link</v>
      </c>
      <c r="E4324" s="3" t="s">
        <v>94</v>
      </c>
      <c r="K4324" s="5"/>
    </row>
    <row r="4325">
      <c r="A4325" s="3" t="s">
        <v>4012</v>
      </c>
      <c r="B4325" s="3" t="s">
        <v>4023</v>
      </c>
      <c r="C4325" s="3" t="s">
        <v>4025</v>
      </c>
      <c r="D4325" s="4" t="str">
        <f>HYPERLINK("https://12go.asia/en/travel/bharuch/ratlam", "12Go Link")</f>
        <v>12Go Link</v>
      </c>
      <c r="E4325" s="3" t="s">
        <v>94</v>
      </c>
      <c r="K4325" s="5"/>
    </row>
    <row r="4326">
      <c r="A4326" s="3" t="s">
        <v>4012</v>
      </c>
      <c r="B4326" s="3" t="s">
        <v>4026</v>
      </c>
      <c r="C4326" s="3" t="s">
        <v>4027</v>
      </c>
      <c r="D4326" s="4" t="str">
        <f>HYPERLINK("https://12go.asia/en/travel/bharuch-junction/vapi", "12Go Link")</f>
        <v>12Go Link</v>
      </c>
      <c r="E4326" s="3" t="s">
        <v>94</v>
      </c>
      <c r="K4326" s="5"/>
    </row>
    <row r="4327">
      <c r="A4327" s="3" t="s">
        <v>4012</v>
      </c>
      <c r="B4327" s="3" t="s">
        <v>4026</v>
      </c>
      <c r="C4327" s="3" t="s">
        <v>4028</v>
      </c>
      <c r="D4327" s="4" t="str">
        <f>HYPERLINK("https://12go.asia/en/travel/bharuch/vapi", "12Go Link")</f>
        <v>12Go Link</v>
      </c>
      <c r="E4327" s="3" t="s">
        <v>94</v>
      </c>
      <c r="K4327" s="5"/>
    </row>
    <row r="4328">
      <c r="A4328" s="3" t="s">
        <v>4029</v>
      </c>
      <c r="B4328" s="3" t="s">
        <v>4030</v>
      </c>
      <c r="C4328" s="3" t="s">
        <v>4031</v>
      </c>
      <c r="D4328" s="4" t="str">
        <f>HYPERLINK("https://12go.asia/en/travel/bhatapara/visakhapatnam", "12Go Link")</f>
        <v>12Go Link</v>
      </c>
      <c r="E4328" s="3" t="s">
        <v>94</v>
      </c>
      <c r="K4328" s="5"/>
    </row>
    <row r="4329">
      <c r="A4329" s="3" t="s">
        <v>4032</v>
      </c>
      <c r="B4329" s="3" t="s">
        <v>4033</v>
      </c>
      <c r="C4329" s="3" t="s">
        <v>4034</v>
      </c>
      <c r="D4329" s="4" t="str">
        <f>HYPERLINK("https://12go.asia/en/travel/bhavnagar/anjuna", "12Go Link")</f>
        <v>12Go Link</v>
      </c>
      <c r="E4329" s="3" t="s">
        <v>94</v>
      </c>
      <c r="K4329" s="5"/>
    </row>
    <row r="4330">
      <c r="A4330" s="3" t="s">
        <v>4032</v>
      </c>
      <c r="B4330" s="3" t="s">
        <v>163</v>
      </c>
      <c r="C4330" s="3" t="s">
        <v>4035</v>
      </c>
      <c r="D4330" s="4" t="str">
        <f>HYPERLINK("https://12go.asia/en/travel/bhavnagar/maharashtra", "12Go Link")</f>
        <v>12Go Link</v>
      </c>
      <c r="E4330" s="3" t="s">
        <v>94</v>
      </c>
      <c r="K4330" s="5"/>
    </row>
    <row r="4331">
      <c r="A4331" s="3" t="s">
        <v>4036</v>
      </c>
      <c r="B4331" s="3" t="s">
        <v>4037</v>
      </c>
      <c r="C4331" s="3" t="s">
        <v>4038</v>
      </c>
      <c r="D4331" s="4" t="str">
        <f>HYPERLINK("https://12go.asia/en/travel/bhilai-power-house/bhopal-jn", "12Go Link")</f>
        <v>12Go Link</v>
      </c>
      <c r="E4331" s="3" t="s">
        <v>94</v>
      </c>
      <c r="K4331" s="5"/>
    </row>
    <row r="4332">
      <c r="A4332" s="3" t="s">
        <v>4036</v>
      </c>
      <c r="B4332" s="3" t="s">
        <v>4037</v>
      </c>
      <c r="C4332" s="3" t="s">
        <v>4039</v>
      </c>
      <c r="D4332" s="4" t="str">
        <f>HYPERLINK("https://12go.asia/en/travel/bhilai/bhopal", "12Go Link")</f>
        <v>12Go Link</v>
      </c>
      <c r="E4332" s="3" t="s">
        <v>94</v>
      </c>
      <c r="K4332" s="5"/>
    </row>
    <row r="4333">
      <c r="A4333" s="3" t="s">
        <v>4036</v>
      </c>
      <c r="B4333" s="3" t="s">
        <v>4040</v>
      </c>
      <c r="C4333" s="3" t="s">
        <v>4041</v>
      </c>
      <c r="D4333" s="4" t="str">
        <f>HYPERLINK("https://12go.asia/en/travel/bhilai/madhya-pradesh", "12Go Link")</f>
        <v>12Go Link</v>
      </c>
      <c r="E4333" s="3" t="s">
        <v>94</v>
      </c>
      <c r="K4333" s="5"/>
    </row>
    <row r="4334">
      <c r="A4334" s="3" t="s">
        <v>4036</v>
      </c>
      <c r="B4334" s="3" t="s">
        <v>3666</v>
      </c>
      <c r="C4334" s="3" t="s">
        <v>4042</v>
      </c>
      <c r="D4334" s="4" t="str">
        <f>HYPERLINK("https://12go.asia/en/travel/bhilai/varanasi", "12Go Link")</f>
        <v>12Go Link</v>
      </c>
      <c r="E4334" s="3" t="s">
        <v>94</v>
      </c>
      <c r="K4334" s="5"/>
    </row>
    <row r="4335">
      <c r="A4335" s="3" t="s">
        <v>4043</v>
      </c>
      <c r="B4335" s="3" t="s">
        <v>4013</v>
      </c>
      <c r="C4335" s="3" t="s">
        <v>4044</v>
      </c>
      <c r="D4335" s="4" t="str">
        <f>HYPERLINK("https://12go.asia/en/travel/bhilwara/daman", "12Go Link")</f>
        <v>12Go Link</v>
      </c>
      <c r="E4335" s="3" t="s">
        <v>94</v>
      </c>
      <c r="K4335" s="5"/>
    </row>
    <row r="4336">
      <c r="A4336" s="3" t="s">
        <v>4045</v>
      </c>
      <c r="B4336" s="3" t="s">
        <v>3719</v>
      </c>
      <c r="C4336" s="3" t="s">
        <v>4046</v>
      </c>
      <c r="D4336" s="4" t="str">
        <f>HYPERLINK("https://12go.asia/en/travel/bhimavaram-town/duvvada", "12Go Link")</f>
        <v>12Go Link</v>
      </c>
      <c r="E4336" s="3" t="s">
        <v>94</v>
      </c>
      <c r="K4336" s="5"/>
    </row>
    <row r="4337">
      <c r="A4337" s="3" t="s">
        <v>4045</v>
      </c>
      <c r="B4337" s="3" t="s">
        <v>3719</v>
      </c>
      <c r="C4337" s="3" t="s">
        <v>4047</v>
      </c>
      <c r="D4337" s="4" t="str">
        <f>HYPERLINK("https://12go.asia/en/travel/bhimavaram/duvvada", "12Go Link")</f>
        <v>12Go Link</v>
      </c>
      <c r="E4337" s="3" t="s">
        <v>94</v>
      </c>
      <c r="K4337" s="5"/>
    </row>
    <row r="4338">
      <c r="A4338" s="3" t="s">
        <v>4048</v>
      </c>
      <c r="B4338" s="3" t="s">
        <v>4049</v>
      </c>
      <c r="C4338" s="3" t="s">
        <v>4050</v>
      </c>
      <c r="D4338" s="4" t="str">
        <f>HYPERLINK("https://12go.asia/en/travel/bhitarkanika-national-park/bhubaneswar", "12Go Link")</f>
        <v>12Go Link</v>
      </c>
      <c r="E4338" s="3" t="s">
        <v>94</v>
      </c>
      <c r="K4338" s="5"/>
    </row>
    <row r="4339">
      <c r="A4339" s="3" t="s">
        <v>4048</v>
      </c>
      <c r="B4339" s="3" t="s">
        <v>3647</v>
      </c>
      <c r="C4339" s="3" t="s">
        <v>4051</v>
      </c>
      <c r="D4339" s="4" t="str">
        <f>HYPERLINK("https://12go.asia/en/travel/bhitarkanika-national-park/delhi", "12Go Link")</f>
        <v>12Go Link</v>
      </c>
      <c r="E4339" s="3" t="s">
        <v>94</v>
      </c>
      <c r="K4339" s="5"/>
    </row>
    <row r="4340">
      <c r="A4340" s="3" t="s">
        <v>4048</v>
      </c>
      <c r="B4340" s="3" t="s">
        <v>3842</v>
      </c>
      <c r="C4340" s="3" t="s">
        <v>4052</v>
      </c>
      <c r="D4340" s="4" t="str">
        <f>HYPERLINK("https://12go.asia/en/travel/bhitarkanika-national-park/new-delhi", "12Go Link")</f>
        <v>12Go Link</v>
      </c>
      <c r="E4340" s="3" t="s">
        <v>94</v>
      </c>
      <c r="K4340" s="5"/>
    </row>
    <row r="4341">
      <c r="A4341" s="3" t="s">
        <v>4048</v>
      </c>
      <c r="B4341" s="3" t="s">
        <v>4053</v>
      </c>
      <c r="C4341" s="3" t="s">
        <v>4054</v>
      </c>
      <c r="D4341" s="4" t="str">
        <f>HYPERLINK("https://12go.asia/en/travel/bhitarkanika-national-park/odisha", "12Go Link")</f>
        <v>12Go Link</v>
      </c>
      <c r="E4341" s="3" t="s">
        <v>94</v>
      </c>
      <c r="K4341" s="5"/>
    </row>
    <row r="4342">
      <c r="A4342" s="3" t="s">
        <v>4055</v>
      </c>
      <c r="B4342" s="3" t="s">
        <v>3633</v>
      </c>
      <c r="C4342" s="3" t="s">
        <v>4056</v>
      </c>
      <c r="D4342" s="4" t="str">
        <f>HYPERLINK("https://12go.asia/en/travel/bhiwani/rajasthan", "12Go Link")</f>
        <v>12Go Link</v>
      </c>
      <c r="E4342" s="3" t="s">
        <v>94</v>
      </c>
      <c r="K4342" s="5"/>
    </row>
    <row r="4343">
      <c r="A4343" s="3" t="s">
        <v>4037</v>
      </c>
      <c r="B4343" s="3" t="s">
        <v>3598</v>
      </c>
      <c r="C4343" s="3" t="s">
        <v>4057</v>
      </c>
      <c r="D4343" s="4" t="str">
        <f>HYPERLINK("https://12go.asia/en/travel/sant-hirdaram-nagar/agra-cantt", "12Go Link")</f>
        <v>12Go Link</v>
      </c>
      <c r="E4343" s="3" t="s">
        <v>94</v>
      </c>
      <c r="K4343" s="5"/>
    </row>
    <row r="4344">
      <c r="A4344" s="3" t="s">
        <v>4037</v>
      </c>
      <c r="B4344" s="3" t="s">
        <v>4058</v>
      </c>
      <c r="C4344" s="3" t="s">
        <v>4059</v>
      </c>
      <c r="D4344" s="4" t="str">
        <f>HYPERLINK("https://12go.asia/en/travel/bhopal-jn/amla-junction", "12Go Link")</f>
        <v>12Go Link</v>
      </c>
      <c r="E4344" s="3" t="s">
        <v>94</v>
      </c>
      <c r="K4344" s="5"/>
    </row>
    <row r="4345">
      <c r="A4345" s="3" t="s">
        <v>4037</v>
      </c>
      <c r="B4345" s="3" t="s">
        <v>4058</v>
      </c>
      <c r="C4345" s="3" t="s">
        <v>4060</v>
      </c>
      <c r="D4345" s="4" t="str">
        <f>HYPERLINK("https://12go.asia/en/travel/bhopal/amla", "12Go Link")</f>
        <v>12Go Link</v>
      </c>
      <c r="E4345" s="3" t="s">
        <v>94</v>
      </c>
      <c r="K4345" s="5"/>
    </row>
    <row r="4346">
      <c r="A4346" s="3" t="s">
        <v>4037</v>
      </c>
      <c r="B4346" s="3" t="s">
        <v>3800</v>
      </c>
      <c r="C4346" s="3" t="s">
        <v>4061</v>
      </c>
      <c r="D4346" s="4" t="str">
        <f>HYPERLINK("https://12go.asia/en/travel/bhopal/assam", "12Go Link")</f>
        <v>12Go Link</v>
      </c>
      <c r="E4346" s="3" t="s">
        <v>94</v>
      </c>
      <c r="K4346" s="5"/>
    </row>
    <row r="4347">
      <c r="A4347" s="3" t="s">
        <v>4037</v>
      </c>
      <c r="B4347" s="3" t="s">
        <v>3715</v>
      </c>
      <c r="C4347" s="3" t="s">
        <v>4062</v>
      </c>
      <c r="D4347" s="4" t="str">
        <f>HYPERLINK("https://12go.asia/en/travel/bhopal-jn/perambur", "12Go Link")</f>
        <v>12Go Link</v>
      </c>
      <c r="E4347" s="3" t="s">
        <v>94</v>
      </c>
      <c r="K4347" s="5"/>
    </row>
    <row r="4348">
      <c r="A4348" s="3" t="s">
        <v>4037</v>
      </c>
      <c r="B4348" s="3" t="s">
        <v>4063</v>
      </c>
      <c r="C4348" s="3" t="s">
        <v>4064</v>
      </c>
      <c r="D4348" s="4" t="str">
        <f>HYPERLINK("https://12go.asia/en/travel/sant-hirdaram-nagar/damoh", "12Go Link")</f>
        <v>12Go Link</v>
      </c>
      <c r="E4348" s="3" t="s">
        <v>94</v>
      </c>
      <c r="K4348" s="5"/>
    </row>
    <row r="4349">
      <c r="A4349" s="3" t="s">
        <v>4037</v>
      </c>
      <c r="B4349" s="3" t="s">
        <v>3801</v>
      </c>
      <c r="C4349" s="3" t="s">
        <v>4065</v>
      </c>
      <c r="D4349" s="4" t="str">
        <f>HYPERLINK("https://12go.asia/en/travel/bhopal/guwahati", "12Go Link")</f>
        <v>12Go Link</v>
      </c>
      <c r="E4349" s="3" t="s">
        <v>94</v>
      </c>
      <c r="K4349" s="5"/>
    </row>
    <row r="4350">
      <c r="A4350" s="3" t="s">
        <v>4037</v>
      </c>
      <c r="B4350" s="3" t="s">
        <v>3801</v>
      </c>
      <c r="C4350" s="3" t="s">
        <v>4066</v>
      </c>
      <c r="D4350" s="4" t="str">
        <f>HYPERLINK("https://12go.asia/en/travel/rani-kamalapati/guwahati", "12Go Link")</f>
        <v>12Go Link</v>
      </c>
      <c r="E4350" s="3" t="s">
        <v>94</v>
      </c>
      <c r="K4350" s="5"/>
    </row>
    <row r="4351">
      <c r="A4351" s="3" t="s">
        <v>4037</v>
      </c>
      <c r="B4351" s="3" t="s">
        <v>3726</v>
      </c>
      <c r="C4351" s="3" t="s">
        <v>4067</v>
      </c>
      <c r="D4351" s="4" t="str">
        <f>HYPERLINK("https://12go.asia/en/travel/bhopal/habibganj", "12Go Link")</f>
        <v>12Go Link</v>
      </c>
      <c r="E4351" s="3" t="s">
        <v>94</v>
      </c>
      <c r="K4351" s="5"/>
    </row>
    <row r="4352">
      <c r="A4352" s="3" t="s">
        <v>4037</v>
      </c>
      <c r="B4352" s="3" t="s">
        <v>167</v>
      </c>
      <c r="C4352" s="3" t="s">
        <v>4068</v>
      </c>
      <c r="D4352" s="4" t="str">
        <f>HYPERLINK("https://12go.asia/en/travel/sant-hirdaram-nagar/mathura-jn", "12Go Link")</f>
        <v>12Go Link</v>
      </c>
      <c r="E4352" s="3" t="s">
        <v>94</v>
      </c>
      <c r="K4352" s="5"/>
    </row>
    <row r="4353">
      <c r="A4353" s="3" t="s">
        <v>4037</v>
      </c>
      <c r="B4353" s="3" t="s">
        <v>3739</v>
      </c>
      <c r="C4353" s="3" t="s">
        <v>4069</v>
      </c>
      <c r="D4353" s="4" t="str">
        <f>HYPERLINK("https://12go.asia/en/travel/bhopal/mughalsarai", "12Go Link")</f>
        <v>12Go Link</v>
      </c>
      <c r="E4353" s="3" t="s">
        <v>94</v>
      </c>
      <c r="K4353" s="5"/>
    </row>
    <row r="4354">
      <c r="A4354" s="3" t="s">
        <v>4037</v>
      </c>
      <c r="B4354" s="3" t="s">
        <v>4070</v>
      </c>
      <c r="C4354" s="3" t="s">
        <v>4071</v>
      </c>
      <c r="D4354" s="4" t="str">
        <f>HYPERLINK("https://12go.asia/en/travel/bhopal-jn/pandhurna", "12Go Link")</f>
        <v>12Go Link</v>
      </c>
      <c r="E4354" s="3" t="s">
        <v>94</v>
      </c>
      <c r="K4354" s="5"/>
    </row>
    <row r="4355">
      <c r="A4355" s="3" t="s">
        <v>4037</v>
      </c>
      <c r="B4355" s="3" t="s">
        <v>4070</v>
      </c>
      <c r="C4355" s="3" t="s">
        <v>4072</v>
      </c>
      <c r="D4355" s="4" t="str">
        <f>HYPERLINK("https://12go.asia/en/travel/bhopal/pandhurna", "12Go Link")</f>
        <v>12Go Link</v>
      </c>
      <c r="E4355" s="3" t="s">
        <v>94</v>
      </c>
      <c r="K4355" s="5"/>
    </row>
    <row r="4356">
      <c r="A4356" s="3" t="s">
        <v>4037</v>
      </c>
      <c r="B4356" s="3" t="s">
        <v>3752</v>
      </c>
      <c r="C4356" s="3" t="s">
        <v>4073</v>
      </c>
      <c r="D4356" s="4" t="str">
        <f>HYPERLINK("https://12go.asia/en/travel/sant-hirdaram-nagar/prayagraj-junction", "12Go Link")</f>
        <v>12Go Link</v>
      </c>
      <c r="E4356" s="3" t="s">
        <v>94</v>
      </c>
      <c r="K4356" s="5"/>
    </row>
    <row r="4357">
      <c r="A4357" s="3" t="s">
        <v>4037</v>
      </c>
      <c r="B4357" s="3" t="s">
        <v>3752</v>
      </c>
      <c r="C4357" s="3" t="s">
        <v>4074</v>
      </c>
      <c r="D4357" s="4" t="str">
        <f>HYPERLINK("https://12go.asia/en/travel/bhopal/prayagraj", "12Go Link")</f>
        <v>12Go Link</v>
      </c>
      <c r="E4357" s="3" t="s">
        <v>94</v>
      </c>
      <c r="K4357" s="5"/>
    </row>
    <row r="4358">
      <c r="A4358" s="3" t="s">
        <v>4037</v>
      </c>
      <c r="B4358" s="3" t="s">
        <v>4075</v>
      </c>
      <c r="C4358" s="3" t="s">
        <v>4076</v>
      </c>
      <c r="D4358" s="4" t="str">
        <f>HYPERLINK("https://12go.asia/en/travel/bhopal/punjab", "12Go Link")</f>
        <v>12Go Link</v>
      </c>
      <c r="E4358" s="3" t="s">
        <v>94</v>
      </c>
      <c r="K4358" s="5"/>
    </row>
    <row r="4359">
      <c r="A4359" s="3" t="s">
        <v>4037</v>
      </c>
      <c r="B4359" s="3" t="s">
        <v>4077</v>
      </c>
      <c r="C4359" s="3" t="s">
        <v>4078</v>
      </c>
      <c r="D4359" s="4" t="str">
        <f>HYPERLINK("https://12go.asia/en/travel/sant-hirdaram-nagar/saugor", "12Go Link")</f>
        <v>12Go Link</v>
      </c>
      <c r="E4359" s="3" t="s">
        <v>94</v>
      </c>
      <c r="K4359" s="5"/>
    </row>
    <row r="4360">
      <c r="A4360" s="3" t="s">
        <v>4037</v>
      </c>
      <c r="B4360" s="3" t="s">
        <v>4079</v>
      </c>
      <c r="C4360" s="3" t="s">
        <v>4080</v>
      </c>
      <c r="D4360" s="4" t="str">
        <f>HYPERLINK("https://12go.asia/en/travel/bhopal/somnath", "12Go Link")</f>
        <v>12Go Link</v>
      </c>
      <c r="E4360" s="3" t="s">
        <v>94</v>
      </c>
      <c r="K4360" s="5"/>
    </row>
    <row r="4361">
      <c r="A4361" s="3" t="s">
        <v>4037</v>
      </c>
      <c r="B4361" s="3" t="s">
        <v>3773</v>
      </c>
      <c r="C4361" s="3" t="s">
        <v>4081</v>
      </c>
      <c r="D4361" s="4" t="str">
        <f>HYPERLINK("https://12go.asia/en/travel/bhopal-jn/tambaram", "12Go Link")</f>
        <v>12Go Link</v>
      </c>
      <c r="E4361" s="3" t="s">
        <v>94</v>
      </c>
      <c r="K4361" s="5"/>
    </row>
    <row r="4362">
      <c r="A4362" s="3" t="s">
        <v>4037</v>
      </c>
      <c r="B4362" s="3" t="s">
        <v>3773</v>
      </c>
      <c r="C4362" s="3" t="s">
        <v>4082</v>
      </c>
      <c r="D4362" s="4" t="str">
        <f>HYPERLINK("https://12go.asia/en/travel/bhopal/tambaram", "12Go Link")</f>
        <v>12Go Link</v>
      </c>
      <c r="E4362" s="3" t="s">
        <v>94</v>
      </c>
      <c r="K4362" s="5"/>
    </row>
    <row r="4363">
      <c r="A4363" s="3" t="s">
        <v>4037</v>
      </c>
      <c r="B4363" s="3" t="s">
        <v>4083</v>
      </c>
      <c r="C4363" s="3" t="s">
        <v>4084</v>
      </c>
      <c r="D4363" s="4" t="str">
        <f>HYPERLINK("https://12go.asia/en/travel/bhopal-jn/veraval", "12Go Link")</f>
        <v>12Go Link</v>
      </c>
      <c r="E4363" s="3" t="s">
        <v>94</v>
      </c>
      <c r="K4363" s="5"/>
    </row>
    <row r="4364">
      <c r="A4364" s="3" t="s">
        <v>4037</v>
      </c>
      <c r="B4364" s="3" t="s">
        <v>4083</v>
      </c>
      <c r="C4364" s="3" t="s">
        <v>4085</v>
      </c>
      <c r="D4364" s="4" t="str">
        <f>HYPERLINK("https://12go.asia/en/travel/bhopal/veraval", "12Go Link")</f>
        <v>12Go Link</v>
      </c>
      <c r="E4364" s="3" t="s">
        <v>94</v>
      </c>
      <c r="K4364" s="5"/>
    </row>
    <row r="4365">
      <c r="A4365" s="3" t="s">
        <v>4037</v>
      </c>
      <c r="B4365" s="3" t="s">
        <v>4086</v>
      </c>
      <c r="C4365" s="3" t="s">
        <v>4087</v>
      </c>
      <c r="D4365" s="4" t="str">
        <f>HYPERLINK("https://12go.asia/en/travel/sant-hirdaram-nagar/vidisha", "12Go Link")</f>
        <v>12Go Link</v>
      </c>
      <c r="E4365" s="3" t="s">
        <v>94</v>
      </c>
      <c r="K4365" s="5"/>
    </row>
    <row r="4366">
      <c r="A4366" s="3" t="s">
        <v>4049</v>
      </c>
      <c r="B4366" s="3" t="s">
        <v>3712</v>
      </c>
      <c r="C4366" s="3" t="s">
        <v>4088</v>
      </c>
      <c r="D4366" s="4" t="str">
        <f>HYPERLINK("https://12go.asia/en/travel/bhubaneswar/amadalavalasa", "12Go Link")</f>
        <v>12Go Link</v>
      </c>
      <c r="E4366" s="3" t="s">
        <v>94</v>
      </c>
      <c r="K4366" s="5"/>
    </row>
    <row r="4367">
      <c r="A4367" s="3" t="s">
        <v>4049</v>
      </c>
      <c r="B4367" s="3" t="s">
        <v>3997</v>
      </c>
      <c r="C4367" s="3" t="s">
        <v>4089</v>
      </c>
      <c r="D4367" s="4" t="str">
        <f>HYPERLINK("https://12go.asia/en/travel/bhubaneswar/bhadrakh", "12Go Link")</f>
        <v>12Go Link</v>
      </c>
      <c r="E4367" s="3" t="s">
        <v>94</v>
      </c>
      <c r="K4367" s="5"/>
    </row>
    <row r="4368">
      <c r="A4368" s="3" t="s">
        <v>4049</v>
      </c>
      <c r="B4368" s="3" t="s">
        <v>4048</v>
      </c>
      <c r="C4368" s="3" t="s">
        <v>4090</v>
      </c>
      <c r="D4368" s="4" t="str">
        <f>HYPERLINK("https://12go.asia/en/travel/bhubaneswar/bhitarkanika-national-park", "12Go Link")</f>
        <v>12Go Link</v>
      </c>
      <c r="E4368" s="3" t="s">
        <v>94</v>
      </c>
      <c r="K4368" s="5"/>
    </row>
    <row r="4369">
      <c r="A4369" s="3" t="s">
        <v>4049</v>
      </c>
      <c r="B4369" s="3" t="s">
        <v>4091</v>
      </c>
      <c r="C4369" s="3" t="s">
        <v>4092</v>
      </c>
      <c r="D4369" s="4" t="str">
        <f>HYPERLINK("https://12go.asia/en/travel/bhubaneswar/boinda", "12Go Link")</f>
        <v>12Go Link</v>
      </c>
      <c r="E4369" s="3" t="s">
        <v>94</v>
      </c>
      <c r="K4369" s="5"/>
    </row>
    <row r="4370">
      <c r="A4370" s="3" t="s">
        <v>4049</v>
      </c>
      <c r="B4370" s="3" t="s">
        <v>3719</v>
      </c>
      <c r="C4370" s="3" t="s">
        <v>4093</v>
      </c>
      <c r="D4370" s="4" t="str">
        <f>HYPERLINK("https://12go.asia/en/travel/bhubaneswar/duvvada", "12Go Link")</f>
        <v>12Go Link</v>
      </c>
      <c r="E4370" s="3" t="s">
        <v>94</v>
      </c>
      <c r="K4370" s="5"/>
    </row>
    <row r="4371">
      <c r="A4371" s="3" t="s">
        <v>4049</v>
      </c>
      <c r="B4371" s="3" t="s">
        <v>4094</v>
      </c>
      <c r="C4371" s="3" t="s">
        <v>4095</v>
      </c>
      <c r="D4371" s="4" t="str">
        <f>HYPERLINK("https://12go.asia/en/travel/bhubaneswar/kendujhar", "12Go Link")</f>
        <v>12Go Link</v>
      </c>
      <c r="E4371" s="3" t="s">
        <v>94</v>
      </c>
      <c r="K4371" s="5"/>
    </row>
    <row r="4372">
      <c r="A4372" s="3" t="s">
        <v>4049</v>
      </c>
      <c r="B4372" s="3" t="s">
        <v>4094</v>
      </c>
      <c r="C4372" s="3" t="s">
        <v>4096</v>
      </c>
      <c r="D4372" s="4" t="str">
        <f>HYPERLINK("https://12go.asia/en/travel/bhubaneswar/kendujhargarh", "12Go Link")</f>
        <v>12Go Link</v>
      </c>
      <c r="E4372" s="3" t="s">
        <v>94</v>
      </c>
      <c r="K4372" s="5"/>
    </row>
    <row r="4373">
      <c r="A4373" s="3" t="s">
        <v>4049</v>
      </c>
      <c r="B4373" s="3" t="s">
        <v>3599</v>
      </c>
      <c r="C4373" s="3" t="s">
        <v>4097</v>
      </c>
      <c r="D4373" s="4" t="str">
        <f>HYPERLINK("https://12go.asia/en/travel/bhubaneswar/kopargaon", "12Go Link")</f>
        <v>12Go Link</v>
      </c>
      <c r="E4373" s="3" t="s">
        <v>94</v>
      </c>
      <c r="K4373" s="5"/>
    </row>
    <row r="4374">
      <c r="A4374" s="3" t="s">
        <v>4049</v>
      </c>
      <c r="B4374" s="3" t="s">
        <v>3678</v>
      </c>
      <c r="C4374" s="3" t="s">
        <v>4098</v>
      </c>
      <c r="D4374" s="4" t="str">
        <f>HYPERLINK("https://12go.asia/en/travel/bhubaneswar/lingampalli", "12Go Link")</f>
        <v>12Go Link</v>
      </c>
      <c r="E4374" s="3" t="s">
        <v>94</v>
      </c>
      <c r="K4374" s="5"/>
    </row>
    <row r="4375">
      <c r="A4375" s="3" t="s">
        <v>4049</v>
      </c>
      <c r="B4375" s="3" t="s">
        <v>4099</v>
      </c>
      <c r="C4375" s="3" t="s">
        <v>4100</v>
      </c>
      <c r="D4375" s="4" t="str">
        <f>HYPERLINK("https://12go.asia/en/travel/bhubaneswar/sainagar-shirdi", "12Go Link")</f>
        <v>12Go Link</v>
      </c>
      <c r="E4375" s="3" t="s">
        <v>94</v>
      </c>
      <c r="K4375" s="5"/>
    </row>
    <row r="4376">
      <c r="A4376" s="3" t="s">
        <v>4049</v>
      </c>
      <c r="B4376" s="3" t="s">
        <v>4101</v>
      </c>
      <c r="C4376" s="3" t="s">
        <v>4102</v>
      </c>
      <c r="D4376" s="4" t="str">
        <f>HYPERLINK("https://12go.asia/en/travel/bhubaneswar/simhachalam", "12Go Link")</f>
        <v>12Go Link</v>
      </c>
      <c r="E4376" s="3" t="s">
        <v>94</v>
      </c>
      <c r="K4376" s="5"/>
    </row>
    <row r="4377">
      <c r="A4377" s="3" t="s">
        <v>4049</v>
      </c>
      <c r="B4377" s="3" t="s">
        <v>3765</v>
      </c>
      <c r="C4377" s="3" t="s">
        <v>4103</v>
      </c>
      <c r="D4377" s="4" t="str">
        <f>HYPERLINK("https://12go.asia/en/travel/bhubaneswar/srikakulam", "12Go Link")</f>
        <v>12Go Link</v>
      </c>
      <c r="E4377" s="3" t="s">
        <v>94</v>
      </c>
      <c r="K4377" s="5"/>
    </row>
    <row r="4378">
      <c r="A4378" s="3" t="s">
        <v>4049</v>
      </c>
      <c r="B4378" s="3" t="s">
        <v>3765</v>
      </c>
      <c r="C4378" s="3" t="s">
        <v>4104</v>
      </c>
      <c r="D4378" s="4" t="str">
        <f>HYPERLINK("https://12go.asia/en/travel/bhubaneswar/srikakulam-road", "12Go Link")</f>
        <v>12Go Link</v>
      </c>
      <c r="E4378" s="3" t="s">
        <v>94</v>
      </c>
      <c r="K4378" s="5"/>
    </row>
    <row r="4379">
      <c r="A4379" s="3" t="s">
        <v>4049</v>
      </c>
      <c r="B4379" s="3" t="s">
        <v>3773</v>
      </c>
      <c r="C4379" s="3" t="s">
        <v>4105</v>
      </c>
      <c r="D4379" s="4" t="str">
        <f>HYPERLINK("https://12go.asia/en/travel/bhubaneswar/tambaram", "12Go Link")</f>
        <v>12Go Link</v>
      </c>
      <c r="E4379" s="3" t="s">
        <v>94</v>
      </c>
      <c r="K4379" s="5"/>
    </row>
    <row r="4380">
      <c r="A4380" s="3" t="s">
        <v>4049</v>
      </c>
      <c r="B4380" s="3" t="s">
        <v>4106</v>
      </c>
      <c r="C4380" s="3" t="s">
        <v>4107</v>
      </c>
      <c r="D4380" s="4" t="str">
        <f>HYPERLINK("https://12go.asia/en/travel/bhubaneswar/tundla", "12Go Link")</f>
        <v>12Go Link</v>
      </c>
      <c r="E4380" s="3" t="s">
        <v>94</v>
      </c>
      <c r="K4380" s="5"/>
    </row>
    <row r="4381">
      <c r="A4381" s="3" t="s">
        <v>4049</v>
      </c>
      <c r="B4381" s="3" t="s">
        <v>4106</v>
      </c>
      <c r="C4381" s="3" t="s">
        <v>4108</v>
      </c>
      <c r="D4381" s="4" t="str">
        <f>HYPERLINK("https://12go.asia/en/travel/bhubaneswar/tundla-junction", "12Go Link")</f>
        <v>12Go Link</v>
      </c>
      <c r="E4381" s="3" t="s">
        <v>94</v>
      </c>
      <c r="K4381" s="5"/>
    </row>
    <row r="4382">
      <c r="A4382" s="3" t="s">
        <v>4049</v>
      </c>
      <c r="B4382" s="3" t="s">
        <v>189</v>
      </c>
      <c r="C4382" s="3" t="s">
        <v>4109</v>
      </c>
      <c r="D4382" s="4" t="str">
        <f>HYPERLINK("https://12go.asia/en/travel/bhubaneswar/vrindavan", "12Go Link")</f>
        <v>12Go Link</v>
      </c>
      <c r="E4382" s="3" t="s">
        <v>94</v>
      </c>
      <c r="K4382" s="5"/>
    </row>
    <row r="4383">
      <c r="A4383" s="3" t="s">
        <v>4110</v>
      </c>
      <c r="B4383" s="3" t="s">
        <v>3615</v>
      </c>
      <c r="C4383" s="3" t="s">
        <v>4111</v>
      </c>
      <c r="D4383" s="4" t="str">
        <f>HYPERLINK("https://12go.asia/en/travel/bhusaval-junction/akola-junction", "12Go Link")</f>
        <v>12Go Link</v>
      </c>
      <c r="E4383" s="3" t="s">
        <v>94</v>
      </c>
      <c r="K4383" s="5"/>
    </row>
    <row r="4384">
      <c r="A4384" s="3" t="s">
        <v>4110</v>
      </c>
      <c r="B4384" s="3" t="s">
        <v>3615</v>
      </c>
      <c r="C4384" s="3" t="s">
        <v>4112</v>
      </c>
      <c r="D4384" s="4" t="str">
        <f>HYPERLINK("https://12go.asia/en/travel/bhusaval/akola", "12Go Link")</f>
        <v>12Go Link</v>
      </c>
      <c r="E4384" s="3" t="s">
        <v>94</v>
      </c>
      <c r="K4384" s="5"/>
    </row>
    <row r="4385">
      <c r="A4385" s="3" t="s">
        <v>4110</v>
      </c>
      <c r="B4385" s="3" t="s">
        <v>4113</v>
      </c>
      <c r="C4385" s="3" t="s">
        <v>4114</v>
      </c>
      <c r="D4385" s="4" t="str">
        <f>HYPERLINK("https://12go.asia/en/travel/bhusaval-junction/borivali", "12Go Link")</f>
        <v>12Go Link</v>
      </c>
      <c r="E4385" s="3" t="s">
        <v>94</v>
      </c>
      <c r="K4385" s="5"/>
    </row>
    <row r="4386">
      <c r="A4386" s="3" t="s">
        <v>4110</v>
      </c>
      <c r="B4386" s="3" t="s">
        <v>4113</v>
      </c>
      <c r="C4386" s="3" t="s">
        <v>4115</v>
      </c>
      <c r="D4386" s="4" t="str">
        <f>HYPERLINK("https://12go.asia/en/travel/bhusaval/borivali", "12Go Link")</f>
        <v>12Go Link</v>
      </c>
      <c r="E4386" s="3" t="s">
        <v>94</v>
      </c>
      <c r="K4386" s="5"/>
    </row>
    <row r="4387">
      <c r="A4387" s="3" t="s">
        <v>4110</v>
      </c>
      <c r="B4387" s="3" t="s">
        <v>4116</v>
      </c>
      <c r="C4387" s="3" t="s">
        <v>4117</v>
      </c>
      <c r="D4387" s="4" t="str">
        <f>HYPERLINK("https://12go.asia/en/travel/bhusaval-junction/raipur-jn", "12Go Link")</f>
        <v>12Go Link</v>
      </c>
      <c r="E4387" s="3" t="s">
        <v>94</v>
      </c>
      <c r="K4387" s="5"/>
    </row>
    <row r="4388">
      <c r="A4388" s="3" t="s">
        <v>4110</v>
      </c>
      <c r="B4388" s="3" t="s">
        <v>4116</v>
      </c>
      <c r="C4388" s="3" t="s">
        <v>4118</v>
      </c>
      <c r="D4388" s="4" t="str">
        <f>HYPERLINK("https://12go.asia/en/travel/bhusaval/chhattisgarh", "12Go Link")</f>
        <v>12Go Link</v>
      </c>
      <c r="E4388" s="3" t="s">
        <v>94</v>
      </c>
      <c r="K4388" s="5"/>
    </row>
    <row r="4389">
      <c r="A4389" s="3" t="s">
        <v>4110</v>
      </c>
      <c r="B4389" s="3" t="s">
        <v>3701</v>
      </c>
      <c r="C4389" s="3" t="s">
        <v>4119</v>
      </c>
      <c r="D4389" s="4" t="str">
        <f>HYPERLINK("https://12go.asia/en/travel/bhusaval-junction/howrah", "12Go Link")</f>
        <v>12Go Link</v>
      </c>
      <c r="E4389" s="3" t="s">
        <v>94</v>
      </c>
      <c r="K4389" s="5"/>
    </row>
    <row r="4390">
      <c r="A4390" s="3" t="s">
        <v>4110</v>
      </c>
      <c r="B4390" s="3" t="s">
        <v>3701</v>
      </c>
      <c r="C4390" s="3" t="s">
        <v>4120</v>
      </c>
      <c r="D4390" s="4" t="str">
        <f>HYPERLINK("https://12go.asia/en/travel/bhusaval/howrah", "12Go Link")</f>
        <v>12Go Link</v>
      </c>
      <c r="E4390" s="3" t="s">
        <v>94</v>
      </c>
      <c r="K4390" s="5"/>
    </row>
    <row r="4391">
      <c r="A4391" s="3" t="s">
        <v>4110</v>
      </c>
      <c r="B4391" s="3" t="s">
        <v>3611</v>
      </c>
      <c r="C4391" s="3" t="s">
        <v>4121</v>
      </c>
      <c r="D4391" s="4" t="str">
        <f>HYPERLINK("https://12go.asia/en/travel/bhusaval-junction/jalgaon-jn", "12Go Link")</f>
        <v>12Go Link</v>
      </c>
      <c r="E4391" s="3" t="s">
        <v>94</v>
      </c>
      <c r="K4391" s="5"/>
    </row>
    <row r="4392">
      <c r="A4392" s="3" t="s">
        <v>4110</v>
      </c>
      <c r="B4392" s="3" t="s">
        <v>3611</v>
      </c>
      <c r="C4392" s="3" t="s">
        <v>4122</v>
      </c>
      <c r="D4392" s="4" t="str">
        <f>HYPERLINK("https://12go.asia/en/travel/bhusaval/jalgaon", "12Go Link")</f>
        <v>12Go Link</v>
      </c>
      <c r="E4392" s="3" t="s">
        <v>94</v>
      </c>
      <c r="K4392" s="5"/>
    </row>
    <row r="4393">
      <c r="A4393" s="3" t="s">
        <v>4110</v>
      </c>
      <c r="B4393" s="3" t="s">
        <v>3704</v>
      </c>
      <c r="C4393" s="3" t="s">
        <v>4123</v>
      </c>
      <c r="D4393" s="4" t="str">
        <f>HYPERLINK("https://12go.asia/en/travel/bhusaval-junction/shalimar", "12Go Link")</f>
        <v>12Go Link</v>
      </c>
      <c r="E4393" s="3" t="s">
        <v>94</v>
      </c>
      <c r="K4393" s="5"/>
    </row>
    <row r="4394">
      <c r="A4394" s="3" t="s">
        <v>4110</v>
      </c>
      <c r="B4394" s="3" t="s">
        <v>3704</v>
      </c>
      <c r="C4394" s="3" t="s">
        <v>4124</v>
      </c>
      <c r="D4394" s="4" t="str">
        <f>HYPERLINK("https://12go.asia/en/travel/bhusaval/kolkata", "12Go Link")</f>
        <v>12Go Link</v>
      </c>
      <c r="E4394" s="3" t="s">
        <v>94</v>
      </c>
      <c r="K4394" s="5"/>
    </row>
    <row r="4395">
      <c r="A4395" s="3" t="s">
        <v>4110</v>
      </c>
      <c r="B4395" s="3" t="s">
        <v>163</v>
      </c>
      <c r="C4395" s="3" t="s">
        <v>4125</v>
      </c>
      <c r="D4395" s="4" t="str">
        <f>HYPERLINK("https://12go.asia/en/travel/bhusaval/maharashtra", "12Go Link")</f>
        <v>12Go Link</v>
      </c>
      <c r="E4395" s="3" t="s">
        <v>94</v>
      </c>
      <c r="K4395" s="5"/>
    </row>
    <row r="4396">
      <c r="A4396" s="3" t="s">
        <v>4110</v>
      </c>
      <c r="B4396" s="3" t="s">
        <v>3690</v>
      </c>
      <c r="C4396" s="3" t="s">
        <v>4126</v>
      </c>
      <c r="D4396" s="4" t="str">
        <f>HYPERLINK("https://12go.asia/en/travel/bhusaval-junction/mumbai-cst", "12Go Link")</f>
        <v>12Go Link</v>
      </c>
      <c r="E4396" s="3" t="s">
        <v>94</v>
      </c>
      <c r="K4396" s="5"/>
    </row>
    <row r="4397">
      <c r="A4397" s="3" t="s">
        <v>4110</v>
      </c>
      <c r="B4397" s="3" t="s">
        <v>3690</v>
      </c>
      <c r="C4397" s="3" t="s">
        <v>4127</v>
      </c>
      <c r="D4397" s="4" t="str">
        <f>HYPERLINK("https://12go.asia/en/travel/bhusaval-junction/mumbai-dadar", "12Go Link")</f>
        <v>12Go Link</v>
      </c>
      <c r="E4397" s="3" t="s">
        <v>94</v>
      </c>
      <c r="K4397" s="5"/>
    </row>
    <row r="4398">
      <c r="A4398" s="3" t="s">
        <v>4110</v>
      </c>
      <c r="B4398" s="3" t="s">
        <v>3752</v>
      </c>
      <c r="C4398" s="3" t="s">
        <v>4128</v>
      </c>
      <c r="D4398" s="4" t="str">
        <f>HYPERLINK("https://12go.asia/en/travel/bhusaval-junction/prayagraj-junction", "12Go Link")</f>
        <v>12Go Link</v>
      </c>
      <c r="E4398" s="3" t="s">
        <v>94</v>
      </c>
      <c r="K4398" s="5"/>
    </row>
    <row r="4399">
      <c r="A4399" s="3" t="s">
        <v>4110</v>
      </c>
      <c r="B4399" s="3" t="s">
        <v>3752</v>
      </c>
      <c r="C4399" s="3" t="s">
        <v>4129</v>
      </c>
      <c r="D4399" s="4" t="str">
        <f>HYPERLINK("https://12go.asia/en/travel/bhusaval/allahabad", "12Go Link")</f>
        <v>12Go Link</v>
      </c>
      <c r="E4399" s="3" t="s">
        <v>94</v>
      </c>
      <c r="K4399" s="5"/>
    </row>
    <row r="4400">
      <c r="A4400" s="3" t="s">
        <v>4110</v>
      </c>
      <c r="B4400" s="3" t="s">
        <v>4130</v>
      </c>
      <c r="C4400" s="3" t="s">
        <v>4131</v>
      </c>
      <c r="D4400" s="4" t="str">
        <f>HYPERLINK("https://12go.asia/en/travel/bhusaval-junction/puri", "12Go Link")</f>
        <v>12Go Link</v>
      </c>
      <c r="E4400" s="3" t="s">
        <v>94</v>
      </c>
      <c r="K4400" s="5"/>
    </row>
    <row r="4401">
      <c r="A4401" s="3" t="s">
        <v>4110</v>
      </c>
      <c r="B4401" s="3" t="s">
        <v>4130</v>
      </c>
      <c r="C4401" s="3" t="s">
        <v>4132</v>
      </c>
      <c r="D4401" s="4" t="str">
        <f>HYPERLINK("https://12go.asia/en/travel/bhusaval/puri", "12Go Link")</f>
        <v>12Go Link</v>
      </c>
      <c r="E4401" s="3" t="s">
        <v>94</v>
      </c>
      <c r="K4401" s="5"/>
    </row>
    <row r="4402">
      <c r="A4402" s="3" t="s">
        <v>4110</v>
      </c>
      <c r="B4402" s="3" t="s">
        <v>4133</v>
      </c>
      <c r="C4402" s="3" t="s">
        <v>4134</v>
      </c>
      <c r="D4402" s="4" t="str">
        <f>HYPERLINK("https://12go.asia/en/travel/bhusaval/sevagram", "12Go Link")</f>
        <v>12Go Link</v>
      </c>
      <c r="E4402" s="3" t="s">
        <v>94</v>
      </c>
      <c r="K4402" s="5"/>
    </row>
    <row r="4403">
      <c r="A4403" s="3" t="s">
        <v>4110</v>
      </c>
      <c r="B4403" s="3" t="s">
        <v>4135</v>
      </c>
      <c r="C4403" s="3" t="s">
        <v>4136</v>
      </c>
      <c r="D4403" s="4" t="str">
        <f>HYPERLINK("https://12go.asia/en/travel/bhusaval-junction/wardha-junction", "12Go Link")</f>
        <v>12Go Link</v>
      </c>
      <c r="E4403" s="3" t="s">
        <v>94</v>
      </c>
      <c r="K4403" s="5"/>
    </row>
    <row r="4404">
      <c r="A4404" s="3" t="s">
        <v>4110</v>
      </c>
      <c r="B4404" s="3" t="s">
        <v>4135</v>
      </c>
      <c r="C4404" s="3" t="s">
        <v>4137</v>
      </c>
      <c r="D4404" s="4" t="str">
        <f>HYPERLINK("https://12go.asia/en/travel/bhusaval/wardha", "12Go Link")</f>
        <v>12Go Link</v>
      </c>
      <c r="E4404" s="3" t="s">
        <v>94</v>
      </c>
      <c r="K4404" s="5"/>
    </row>
    <row r="4405">
      <c r="A4405" s="3" t="s">
        <v>4110</v>
      </c>
      <c r="B4405" s="3" t="s">
        <v>3708</v>
      </c>
      <c r="C4405" s="3" t="s">
        <v>4138</v>
      </c>
      <c r="D4405" s="4" t="str">
        <f>HYPERLINK("https://12go.asia/en/travel/bhusaval/west-bengal", "12Go Link")</f>
        <v>12Go Link</v>
      </c>
      <c r="E4405" s="3" t="s">
        <v>94</v>
      </c>
      <c r="K4405" s="5"/>
    </row>
    <row r="4406">
      <c r="A4406" s="3" t="s">
        <v>3862</v>
      </c>
      <c r="B4406" s="3" t="s">
        <v>3638</v>
      </c>
      <c r="C4406" s="3" t="s">
        <v>4139</v>
      </c>
      <c r="D4406" s="4" t="str">
        <f>HYPERLINK("https://12go.asia/en/travel/bidar/hyderabad", "12Go Link")</f>
        <v>12Go Link</v>
      </c>
      <c r="E4406" s="3" t="s">
        <v>94</v>
      </c>
      <c r="K4406" s="5"/>
    </row>
    <row r="4407">
      <c r="A4407" s="3" t="s">
        <v>3862</v>
      </c>
      <c r="B4407" s="3" t="s">
        <v>3638</v>
      </c>
      <c r="C4407" s="3" t="s">
        <v>4140</v>
      </c>
      <c r="D4407" s="4" t="str">
        <f>HYPERLINK("https://12go.asia/en/travel/bidar/hyderabad-decan", "12Go Link")</f>
        <v>12Go Link</v>
      </c>
      <c r="E4407" s="3" t="s">
        <v>94</v>
      </c>
      <c r="K4407" s="5"/>
    </row>
    <row r="4408">
      <c r="A4408" s="3" t="s">
        <v>3862</v>
      </c>
      <c r="B4408" s="3" t="s">
        <v>3638</v>
      </c>
      <c r="C4408" s="3" t="s">
        <v>4141</v>
      </c>
      <c r="D4408" s="4" t="str">
        <f>HYPERLINK("https://12go.asia/en/travel/bidar/kacheguda", "12Go Link")</f>
        <v>12Go Link</v>
      </c>
      <c r="E4408" s="3" t="s">
        <v>94</v>
      </c>
      <c r="K4408" s="5"/>
    </row>
    <row r="4409">
      <c r="A4409" s="3" t="s">
        <v>3862</v>
      </c>
      <c r="B4409" s="3" t="s">
        <v>3638</v>
      </c>
      <c r="C4409" s="3" t="s">
        <v>4142</v>
      </c>
      <c r="D4409" s="4" t="str">
        <f>HYPERLINK("https://12go.asia/en/travel/bidar/secunderabad", "12Go Link")</f>
        <v>12Go Link</v>
      </c>
      <c r="E4409" s="3" t="s">
        <v>94</v>
      </c>
      <c r="K4409" s="5"/>
    </row>
    <row r="4410">
      <c r="A4410" s="3" t="s">
        <v>3862</v>
      </c>
      <c r="B4410" s="3" t="s">
        <v>4143</v>
      </c>
      <c r="C4410" s="3" t="s">
        <v>4144</v>
      </c>
      <c r="D4410" s="4" t="str">
        <f>HYPERLINK("https://12go.asia/en/travel/bidar/telangana", "12Go Link")</f>
        <v>12Go Link</v>
      </c>
      <c r="E4410" s="3" t="s">
        <v>94</v>
      </c>
      <c r="K4410" s="5"/>
    </row>
    <row r="4411">
      <c r="A4411" s="3" t="s">
        <v>4001</v>
      </c>
      <c r="B4411" s="3" t="s">
        <v>3793</v>
      </c>
      <c r="C4411" s="3" t="s">
        <v>4145</v>
      </c>
      <c r="D4411" s="4" t="str">
        <f>HYPERLINK("https://12go.asia/en/travel/bihar/ara", "12Go Link")</f>
        <v>12Go Link</v>
      </c>
      <c r="E4411" s="3" t="s">
        <v>94</v>
      </c>
      <c r="K4411" s="5"/>
    </row>
    <row r="4412">
      <c r="A4412" s="3" t="s">
        <v>4001</v>
      </c>
      <c r="B4412" s="3" t="s">
        <v>3800</v>
      </c>
      <c r="C4412" s="3" t="s">
        <v>4146</v>
      </c>
      <c r="D4412" s="4" t="str">
        <f>HYPERLINK("https://12go.asia/en/travel/bihar/assam", "12Go Link")</f>
        <v>12Go Link</v>
      </c>
      <c r="E4412" s="3" t="s">
        <v>94</v>
      </c>
      <c r="K4412" s="5"/>
    </row>
    <row r="4413">
      <c r="A4413" s="3" t="s">
        <v>4001</v>
      </c>
      <c r="B4413" s="3" t="s">
        <v>4147</v>
      </c>
      <c r="C4413" s="3" t="s">
        <v>4148</v>
      </c>
      <c r="D4413" s="4" t="str">
        <f>HYPERLINK("https://12go.asia/en/travel/bihar/bakhtiyarpur", "12Go Link")</f>
        <v>12Go Link</v>
      </c>
      <c r="E4413" s="3" t="s">
        <v>94</v>
      </c>
      <c r="K4413" s="5"/>
    </row>
    <row r="4414">
      <c r="A4414" s="3" t="s">
        <v>4001</v>
      </c>
      <c r="B4414" s="3" t="s">
        <v>3810</v>
      </c>
      <c r="C4414" s="3" t="s">
        <v>4149</v>
      </c>
      <c r="D4414" s="4" t="str">
        <f>HYPERLINK("https://12go.asia/en/travel/bihar/barauni", "12Go Link")</f>
        <v>12Go Link</v>
      </c>
      <c r="E4414" s="3" t="s">
        <v>94</v>
      </c>
      <c r="K4414" s="5"/>
    </row>
    <row r="4415">
      <c r="A4415" s="3" t="s">
        <v>4001</v>
      </c>
      <c r="B4415" s="3" t="s">
        <v>3960</v>
      </c>
      <c r="C4415" s="3" t="s">
        <v>4150</v>
      </c>
      <c r="D4415" s="4" t="str">
        <f>HYPERLINK("https://12go.asia/en/travel/bihar/begusarai", "12Go Link")</f>
        <v>12Go Link</v>
      </c>
      <c r="E4415" s="3" t="s">
        <v>94</v>
      </c>
      <c r="K4415" s="5"/>
    </row>
    <row r="4416">
      <c r="A4416" s="3" t="s">
        <v>4001</v>
      </c>
      <c r="B4416" s="3" t="s">
        <v>4036</v>
      </c>
      <c r="C4416" s="3" t="s">
        <v>4151</v>
      </c>
      <c r="D4416" s="4" t="str">
        <f>HYPERLINK("https://12go.asia/en/travel/bihar/bhilai", "12Go Link")</f>
        <v>12Go Link</v>
      </c>
      <c r="E4416" s="3" t="s">
        <v>94</v>
      </c>
      <c r="K4416" s="5"/>
    </row>
    <row r="4417">
      <c r="A4417" s="3" t="s">
        <v>4001</v>
      </c>
      <c r="B4417" s="3" t="s">
        <v>4152</v>
      </c>
      <c r="C4417" s="3" t="s">
        <v>4153</v>
      </c>
      <c r="D4417" s="4" t="str">
        <f>HYPERLINK("https://12go.asia/en/travel/bihar/bihta", "12Go Link")</f>
        <v>12Go Link</v>
      </c>
      <c r="E4417" s="3" t="s">
        <v>94</v>
      </c>
      <c r="K4417" s="5"/>
    </row>
    <row r="4418">
      <c r="A4418" s="3" t="s">
        <v>4001</v>
      </c>
      <c r="B4418" s="3" t="s">
        <v>4154</v>
      </c>
      <c r="C4418" s="3" t="s">
        <v>4155</v>
      </c>
      <c r="D4418" s="4" t="str">
        <f>HYPERLINK("https://12go.asia/en/travel/bihar/bilaspur", "12Go Link")</f>
        <v>12Go Link</v>
      </c>
      <c r="E4418" s="3" t="s">
        <v>94</v>
      </c>
      <c r="K4418" s="5"/>
    </row>
    <row r="4419">
      <c r="A4419" s="3" t="s">
        <v>4001</v>
      </c>
      <c r="B4419" s="3" t="s">
        <v>4156</v>
      </c>
      <c r="C4419" s="3" t="s">
        <v>4157</v>
      </c>
      <c r="D4419" s="4" t="str">
        <f>HYPERLINK("https://12go.asia/en/travel/bihar/deoghar", "12Go Link")</f>
        <v>12Go Link</v>
      </c>
      <c r="E4419" s="3" t="s">
        <v>94</v>
      </c>
      <c r="K4419" s="5"/>
    </row>
    <row r="4420">
      <c r="A4420" s="3" t="s">
        <v>4001</v>
      </c>
      <c r="B4420" s="3" t="s">
        <v>4158</v>
      </c>
      <c r="C4420" s="3" t="s">
        <v>4159</v>
      </c>
      <c r="D4420" s="4" t="str">
        <f>HYPERLINK("https://12go.asia/en/travel/bihar/ernakulam", "12Go Link")</f>
        <v>12Go Link</v>
      </c>
      <c r="E4420" s="3" t="s">
        <v>94</v>
      </c>
      <c r="K4420" s="5"/>
    </row>
    <row r="4421">
      <c r="A4421" s="3" t="s">
        <v>4001</v>
      </c>
      <c r="B4421" s="3" t="s">
        <v>3801</v>
      </c>
      <c r="C4421" s="3" t="s">
        <v>4160</v>
      </c>
      <c r="D4421" s="4" t="str">
        <f>HYPERLINK("https://12go.asia/en/travel/bihar/guwahati", "12Go Link")</f>
        <v>12Go Link</v>
      </c>
      <c r="E4421" s="3" t="s">
        <v>94</v>
      </c>
      <c r="K4421" s="5"/>
    </row>
    <row r="4422">
      <c r="A4422" s="3" t="s">
        <v>4001</v>
      </c>
      <c r="B4422" s="3" t="s">
        <v>3701</v>
      </c>
      <c r="C4422" s="3" t="s">
        <v>4161</v>
      </c>
      <c r="D4422" s="4" t="str">
        <f>HYPERLINK("https://12go.asia/en/travel/nawadah/howrah", "12Go Link")</f>
        <v>12Go Link</v>
      </c>
      <c r="E4422" s="3" t="s">
        <v>94</v>
      </c>
      <c r="K4422" s="5"/>
    </row>
    <row r="4423">
      <c r="A4423" s="3" t="s">
        <v>4001</v>
      </c>
      <c r="B4423" s="3" t="s">
        <v>4162</v>
      </c>
      <c r="C4423" s="3" t="s">
        <v>4163</v>
      </c>
      <c r="D4423" s="4" t="str">
        <f>HYPERLINK("https://12go.asia/en/travel/bihar/itarsi", "12Go Link")</f>
        <v>12Go Link</v>
      </c>
      <c r="E4423" s="3" t="s">
        <v>94</v>
      </c>
      <c r="K4423" s="5"/>
    </row>
    <row r="4424">
      <c r="A4424" s="3" t="s">
        <v>4001</v>
      </c>
      <c r="B4424" s="3" t="s">
        <v>4164</v>
      </c>
      <c r="C4424" s="3" t="s">
        <v>4165</v>
      </c>
      <c r="D4424" s="4" t="str">
        <f>HYPERLINK("https://12go.asia/en/travel/bihar/jainagar-bihar", "12Go Link")</f>
        <v>12Go Link</v>
      </c>
      <c r="E4424" s="3" t="s">
        <v>94</v>
      </c>
      <c r="K4424" s="5"/>
    </row>
    <row r="4425">
      <c r="A4425" s="3" t="s">
        <v>4001</v>
      </c>
      <c r="B4425" s="3" t="s">
        <v>4166</v>
      </c>
      <c r="C4425" s="3" t="s">
        <v>4167</v>
      </c>
      <c r="D4425" s="4" t="str">
        <f>HYPERLINK("https://12go.asia/en/travel/bihar/jalpaiguri", "12Go Link")</f>
        <v>12Go Link</v>
      </c>
      <c r="E4425" s="3" t="s">
        <v>94</v>
      </c>
      <c r="K4425" s="5"/>
    </row>
    <row r="4426">
      <c r="A4426" s="3" t="s">
        <v>4001</v>
      </c>
      <c r="B4426" s="3" t="s">
        <v>4168</v>
      </c>
      <c r="C4426" s="3" t="s">
        <v>4169</v>
      </c>
      <c r="D4426" s="4" t="str">
        <f>HYPERLINK("https://12go.asia/en/travel/bihar/jamalpur", "12Go Link")</f>
        <v>12Go Link</v>
      </c>
      <c r="E4426" s="3" t="s">
        <v>94</v>
      </c>
      <c r="K4426" s="5"/>
    </row>
    <row r="4427">
      <c r="A4427" s="3" t="s">
        <v>4001</v>
      </c>
      <c r="B4427" s="3" t="s">
        <v>4003</v>
      </c>
      <c r="C4427" s="3" t="s">
        <v>4170</v>
      </c>
      <c r="D4427" s="4" t="str">
        <f>HYPERLINK("https://12go.asia/en/travel/bihar/jammu-and-kashmir", "12Go Link")</f>
        <v>12Go Link</v>
      </c>
      <c r="E4427" s="3" t="s">
        <v>94</v>
      </c>
      <c r="K4427" s="5"/>
    </row>
    <row r="4428">
      <c r="A4428" s="3" t="s">
        <v>4001</v>
      </c>
      <c r="B4428" s="3" t="s">
        <v>4005</v>
      </c>
      <c r="C4428" s="3" t="s">
        <v>4171</v>
      </c>
      <c r="D4428" s="4" t="str">
        <f>HYPERLINK("https://12go.asia/en/travel/bihar/jammu-kashmir", "12Go Link")</f>
        <v>12Go Link</v>
      </c>
      <c r="E4428" s="3" t="s">
        <v>94</v>
      </c>
      <c r="K4428" s="5"/>
    </row>
    <row r="4429">
      <c r="A4429" s="3" t="s">
        <v>4001</v>
      </c>
      <c r="B4429" s="3" t="s">
        <v>4172</v>
      </c>
      <c r="C4429" s="3" t="s">
        <v>4173</v>
      </c>
      <c r="D4429" s="4" t="str">
        <f>HYPERLINK("https://12go.asia/en/travel/bihar/karnataka", "12Go Link")</f>
        <v>12Go Link</v>
      </c>
      <c r="E4429" s="3" t="s">
        <v>94</v>
      </c>
      <c r="K4429" s="5"/>
    </row>
    <row r="4430">
      <c r="A4430" s="3" t="s">
        <v>4001</v>
      </c>
      <c r="B4430" s="3" t="s">
        <v>4174</v>
      </c>
      <c r="C4430" s="3" t="s">
        <v>4175</v>
      </c>
      <c r="D4430" s="4" t="str">
        <f>HYPERLINK("https://12go.asia/en/travel/bihar/katihar", "12Go Link")</f>
        <v>12Go Link</v>
      </c>
      <c r="E4430" s="3" t="s">
        <v>94</v>
      </c>
      <c r="K4430" s="5"/>
    </row>
    <row r="4431">
      <c r="A4431" s="3" t="s">
        <v>4001</v>
      </c>
      <c r="B4431" s="3" t="s">
        <v>3728</v>
      </c>
      <c r="C4431" s="3" t="s">
        <v>4176</v>
      </c>
      <c r="D4431" s="4" t="str">
        <f>HYPERLINK("https://12go.asia/en/travel/bihar/katpadi", "12Go Link")</f>
        <v>12Go Link</v>
      </c>
      <c r="E4431" s="3" t="s">
        <v>94</v>
      </c>
      <c r="K4431" s="5"/>
    </row>
    <row r="4432">
      <c r="A4432" s="3" t="s">
        <v>4001</v>
      </c>
      <c r="B4432" s="3" t="s">
        <v>3730</v>
      </c>
      <c r="C4432" s="3" t="s">
        <v>4177</v>
      </c>
      <c r="D4432" s="4" t="str">
        <f>HYPERLINK("https://12go.asia/en/travel/bihar/kerala", "12Go Link")</f>
        <v>12Go Link</v>
      </c>
      <c r="E4432" s="3" t="s">
        <v>94</v>
      </c>
      <c r="K4432" s="5"/>
    </row>
    <row r="4433">
      <c r="A4433" s="3" t="s">
        <v>4001</v>
      </c>
      <c r="B4433" s="3" t="s">
        <v>4178</v>
      </c>
      <c r="C4433" s="3" t="s">
        <v>4179</v>
      </c>
      <c r="D4433" s="4" t="str">
        <f>HYPERLINK("https://12go.asia/en/travel/bihar/khagaria", "12Go Link")</f>
        <v>12Go Link</v>
      </c>
      <c r="E4433" s="3" t="s">
        <v>94</v>
      </c>
      <c r="K4433" s="5"/>
    </row>
    <row r="4434">
      <c r="A4434" s="3" t="s">
        <v>4001</v>
      </c>
      <c r="B4434" s="3" t="s">
        <v>4180</v>
      </c>
      <c r="C4434" s="3" t="s">
        <v>4181</v>
      </c>
      <c r="D4434" s="4" t="str">
        <f>HYPERLINK("https://12go.asia/en/travel/bihar/kishanganj", "12Go Link")</f>
        <v>12Go Link</v>
      </c>
      <c r="E4434" s="3" t="s">
        <v>94</v>
      </c>
      <c r="K4434" s="5"/>
    </row>
    <row r="4435">
      <c r="A4435" s="3" t="s">
        <v>4001</v>
      </c>
      <c r="B4435" s="3" t="s">
        <v>4182</v>
      </c>
      <c r="C4435" s="3" t="s">
        <v>4183</v>
      </c>
      <c r="D4435" s="4" t="str">
        <f>HYPERLINK("https://12go.asia/en/travel/bihar/kochi-india", "12Go Link")</f>
        <v>12Go Link</v>
      </c>
      <c r="E4435" s="3" t="s">
        <v>94</v>
      </c>
      <c r="K4435" s="5"/>
    </row>
    <row r="4436">
      <c r="A4436" s="3" t="s">
        <v>4001</v>
      </c>
      <c r="B4436" s="3" t="s">
        <v>4184</v>
      </c>
      <c r="C4436" s="3" t="s">
        <v>4185</v>
      </c>
      <c r="D4436" s="4" t="str">
        <f>HYPERLINK("https://12go.asia/en/travel/bihar/mansi", "12Go Link")</f>
        <v>12Go Link</v>
      </c>
      <c r="E4436" s="3" t="s">
        <v>94</v>
      </c>
      <c r="K4436" s="5"/>
    </row>
    <row r="4437">
      <c r="A4437" s="3" t="s">
        <v>4001</v>
      </c>
      <c r="B4437" s="3" t="s">
        <v>167</v>
      </c>
      <c r="C4437" s="3" t="s">
        <v>4186</v>
      </c>
      <c r="D4437" s="4" t="str">
        <f>HYPERLINK("https://12go.asia/en/travel/bihar/mathura", "12Go Link")</f>
        <v>12Go Link</v>
      </c>
      <c r="E4437" s="3" t="s">
        <v>94</v>
      </c>
      <c r="K4437" s="5"/>
    </row>
    <row r="4438">
      <c r="A4438" s="3" t="s">
        <v>4001</v>
      </c>
      <c r="B4438" s="3" t="s">
        <v>4187</v>
      </c>
      <c r="C4438" s="3" t="s">
        <v>4188</v>
      </c>
      <c r="D4438" s="4" t="str">
        <f>HYPERLINK("https://12go.asia/en/travel/bihar/nagpur", "12Go Link")</f>
        <v>12Go Link</v>
      </c>
      <c r="E4438" s="3" t="s">
        <v>94</v>
      </c>
      <c r="K4438" s="5"/>
    </row>
    <row r="4439">
      <c r="A4439" s="3" t="s">
        <v>4001</v>
      </c>
      <c r="B4439" s="3" t="s">
        <v>4189</v>
      </c>
      <c r="C4439" s="3" t="s">
        <v>4190</v>
      </c>
      <c r="D4439" s="4" t="str">
        <f>HYPERLINK("https://12go.asia/en/travel/bihar/nalanda", "12Go Link")</f>
        <v>12Go Link</v>
      </c>
      <c r="E4439" s="3" t="s">
        <v>94</v>
      </c>
      <c r="K4439" s="5"/>
    </row>
    <row r="4440">
      <c r="A4440" s="3" t="s">
        <v>4001</v>
      </c>
      <c r="B4440" s="3" t="s">
        <v>3752</v>
      </c>
      <c r="C4440" s="3" t="s">
        <v>4191</v>
      </c>
      <c r="D4440" s="4" t="str">
        <f>HYPERLINK("https://12go.asia/en/travel/bihar/prayagraj", "12Go Link")</f>
        <v>12Go Link</v>
      </c>
      <c r="E4440" s="3" t="s">
        <v>94</v>
      </c>
      <c r="K4440" s="5"/>
    </row>
    <row r="4441">
      <c r="A4441" s="3" t="s">
        <v>4001</v>
      </c>
      <c r="B4441" s="3" t="s">
        <v>4192</v>
      </c>
      <c r="C4441" s="3" t="s">
        <v>4193</v>
      </c>
      <c r="D4441" s="4" t="str">
        <f>HYPERLINK("https://12go.asia/en/travel/bihar/purnia", "12Go Link")</f>
        <v>12Go Link</v>
      </c>
      <c r="E4441" s="3" t="s">
        <v>94</v>
      </c>
      <c r="K4441" s="5"/>
    </row>
    <row r="4442">
      <c r="A4442" s="3" t="s">
        <v>4001</v>
      </c>
      <c r="B4442" s="3" t="s">
        <v>4194</v>
      </c>
      <c r="C4442" s="3" t="s">
        <v>4195</v>
      </c>
      <c r="D4442" s="4" t="str">
        <f>HYPERLINK("https://12go.asia/en/travel/bihar/raxaul", "12Go Link")</f>
        <v>12Go Link</v>
      </c>
      <c r="E4442" s="3" t="s">
        <v>94</v>
      </c>
      <c r="K4442" s="5"/>
    </row>
    <row r="4443">
      <c r="A4443" s="3" t="s">
        <v>4001</v>
      </c>
      <c r="B4443" s="3" t="s">
        <v>4196</v>
      </c>
      <c r="C4443" s="3" t="s">
        <v>4197</v>
      </c>
      <c r="D4443" s="4" t="str">
        <f>HYPERLINK("https://12go.asia/en/travel/bihar/samastipur", "12Go Link")</f>
        <v>12Go Link</v>
      </c>
      <c r="E4443" s="3" t="s">
        <v>94</v>
      </c>
      <c r="K4443" s="5"/>
    </row>
    <row r="4444">
      <c r="A4444" s="3" t="s">
        <v>4001</v>
      </c>
      <c r="B4444" s="3" t="s">
        <v>4198</v>
      </c>
      <c r="C4444" s="3" t="s">
        <v>4199</v>
      </c>
      <c r="D4444" s="4" t="str">
        <f>HYPERLINK("https://12go.asia/en/travel/bihar/siwan", "12Go Link")</f>
        <v>12Go Link</v>
      </c>
      <c r="E4444" s="3" t="s">
        <v>94</v>
      </c>
      <c r="K4444" s="5"/>
    </row>
    <row r="4445">
      <c r="A4445" s="3" t="s">
        <v>4001</v>
      </c>
      <c r="B4445" s="3" t="s">
        <v>3771</v>
      </c>
      <c r="C4445" s="3" t="s">
        <v>4200</v>
      </c>
      <c r="D4445" s="4" t="str">
        <f>HYPERLINK("https://12go.asia/en/travel/bihar/taj-mahal", "12Go Link")</f>
        <v>12Go Link</v>
      </c>
      <c r="E4445" s="3" t="s">
        <v>94</v>
      </c>
      <c r="K4445" s="5"/>
    </row>
    <row r="4446">
      <c r="A4446" s="3" t="s">
        <v>4001</v>
      </c>
      <c r="B4446" s="3" t="s">
        <v>3924</v>
      </c>
      <c r="C4446" s="3" t="s">
        <v>4201</v>
      </c>
      <c r="D4446" s="4" t="str">
        <f>HYPERLINK("https://12go.asia/en/travel/bihar/tatanagar", "12Go Link")</f>
        <v>12Go Link</v>
      </c>
      <c r="E4446" s="3" t="s">
        <v>94</v>
      </c>
      <c r="K4446" s="5"/>
    </row>
    <row r="4447">
      <c r="A4447" s="3" t="s">
        <v>4001</v>
      </c>
      <c r="B4447" s="3" t="s">
        <v>4106</v>
      </c>
      <c r="C4447" s="3" t="s">
        <v>4202</v>
      </c>
      <c r="D4447" s="4" t="str">
        <f>HYPERLINK("https://12go.asia/en/travel/bihar/tundla", "12Go Link")</f>
        <v>12Go Link</v>
      </c>
      <c r="E4447" s="3" t="s">
        <v>94</v>
      </c>
      <c r="K4447" s="5"/>
    </row>
    <row r="4448">
      <c r="A4448" s="3" t="s">
        <v>4001</v>
      </c>
      <c r="B4448" s="3" t="s">
        <v>3776</v>
      </c>
      <c r="C4448" s="3" t="s">
        <v>4203</v>
      </c>
      <c r="D4448" s="4" t="str">
        <f>HYPERLINK("https://12go.asia/en/travel/bihar/ujjain", "12Go Link")</f>
        <v>12Go Link</v>
      </c>
      <c r="E4448" s="3" t="s">
        <v>94</v>
      </c>
      <c r="K4448" s="5"/>
    </row>
    <row r="4449">
      <c r="A4449" s="3" t="s">
        <v>4001</v>
      </c>
      <c r="B4449" s="3" t="s">
        <v>186</v>
      </c>
      <c r="C4449" s="3" t="s">
        <v>4204</v>
      </c>
      <c r="D4449" s="4" t="str">
        <f>HYPERLINK("https://12go.asia/en/travel/bihar/vadodara", "12Go Link")</f>
        <v>12Go Link</v>
      </c>
      <c r="E4449" s="3" t="s">
        <v>94</v>
      </c>
      <c r="K4449" s="5"/>
    </row>
    <row r="4450">
      <c r="A4450" s="3" t="s">
        <v>4001</v>
      </c>
      <c r="B4450" s="3" t="s">
        <v>189</v>
      </c>
      <c r="C4450" s="3" t="s">
        <v>4205</v>
      </c>
      <c r="D4450" s="4" t="str">
        <f>HYPERLINK("https://12go.asia/en/travel/bihar/vrindavan", "12Go Link")</f>
        <v>12Go Link</v>
      </c>
      <c r="E4450" s="3" t="s">
        <v>94</v>
      </c>
      <c r="K4450" s="5"/>
    </row>
    <row r="4451">
      <c r="A4451" s="3" t="s">
        <v>4001</v>
      </c>
      <c r="B4451" s="3" t="s">
        <v>4206</v>
      </c>
      <c r="C4451" s="3" t="s">
        <v>4207</v>
      </c>
      <c r="D4451" s="4" t="str">
        <f>HYPERLINK("https://12go.asia/en/travel/bihar/birgunj", "12Go Link")</f>
        <v>12Go Link</v>
      </c>
      <c r="E4451" s="3" t="s">
        <v>94</v>
      </c>
      <c r="K4451" s="5"/>
    </row>
    <row r="4452">
      <c r="A4452" s="3" t="s">
        <v>4152</v>
      </c>
      <c r="B4452" s="3" t="s">
        <v>4001</v>
      </c>
      <c r="C4452" s="3" t="s">
        <v>4208</v>
      </c>
      <c r="D4452" s="4" t="str">
        <f>HYPERLINK("https://12go.asia/en/travel/bihta/bihar", "12Go Link")</f>
        <v>12Go Link</v>
      </c>
      <c r="E4452" s="3" t="s">
        <v>94</v>
      </c>
      <c r="K4452" s="5"/>
    </row>
    <row r="4453">
      <c r="A4453" s="3" t="s">
        <v>4152</v>
      </c>
      <c r="B4453" s="3" t="s">
        <v>4209</v>
      </c>
      <c r="C4453" s="3" t="s">
        <v>4210</v>
      </c>
      <c r="D4453" s="4" t="str">
        <f>HYPERLINK("https://12go.asia/en/travel/bihta/danapur", "12Go Link")</f>
        <v>12Go Link</v>
      </c>
      <c r="E4453" s="3" t="s">
        <v>94</v>
      </c>
      <c r="K4453" s="5"/>
    </row>
    <row r="4454">
      <c r="A4454" s="3" t="s">
        <v>4211</v>
      </c>
      <c r="B4454" s="3" t="s">
        <v>4143</v>
      </c>
      <c r="C4454" s="3" t="s">
        <v>4212</v>
      </c>
      <c r="D4454" s="4" t="str">
        <f>HYPERLINK("https://12go.asia/en/travel/bijapur/telangana", "12Go Link")</f>
        <v>12Go Link</v>
      </c>
      <c r="E4454" s="3" t="s">
        <v>94</v>
      </c>
      <c r="K4454" s="5"/>
    </row>
    <row r="4455">
      <c r="A4455" s="3" t="s">
        <v>4213</v>
      </c>
      <c r="B4455" s="3" t="s">
        <v>3682</v>
      </c>
      <c r="C4455" s="3" t="s">
        <v>4214</v>
      </c>
      <c r="D4455" s="4" t="str">
        <f>HYPERLINK("https://12go.asia/en/travel/bikaner-jn/kalyan-jn", "12Go Link")</f>
        <v>12Go Link</v>
      </c>
      <c r="E4455" s="3" t="s">
        <v>94</v>
      </c>
      <c r="K4455" s="5"/>
    </row>
    <row r="4456">
      <c r="A4456" s="3" t="s">
        <v>4213</v>
      </c>
      <c r="B4456" s="3" t="s">
        <v>3682</v>
      </c>
      <c r="C4456" s="3" t="s">
        <v>4215</v>
      </c>
      <c r="D4456" s="4" t="str">
        <f>HYPERLINK("https://12go.asia/en/travel/bikaner/kalyan", "12Go Link")</f>
        <v>12Go Link</v>
      </c>
      <c r="E4456" s="3" t="s">
        <v>94</v>
      </c>
      <c r="K4456" s="5"/>
    </row>
    <row r="4457">
      <c r="A4457" s="3" t="s">
        <v>4213</v>
      </c>
      <c r="B4457" s="3" t="s">
        <v>4216</v>
      </c>
      <c r="C4457" s="3" t="s">
        <v>4217</v>
      </c>
      <c r="D4457" s="4" t="str">
        <f>HYPERLINK("https://12go.asia/en/travel/bikaner-jn/roorkee", "12Go Link")</f>
        <v>12Go Link</v>
      </c>
      <c r="E4457" s="3" t="s">
        <v>94</v>
      </c>
      <c r="K4457" s="5"/>
    </row>
    <row r="4458">
      <c r="A4458" s="3" t="s">
        <v>4213</v>
      </c>
      <c r="B4458" s="3" t="s">
        <v>4218</v>
      </c>
      <c r="C4458" s="3" t="s">
        <v>4219</v>
      </c>
      <c r="D4458" s="4" t="str">
        <f>HYPERLINK("https://12go.asia/en/travel/bikaner/uttar-pradesh", "12Go Link")</f>
        <v>12Go Link</v>
      </c>
      <c r="E4458" s="3" t="s">
        <v>94</v>
      </c>
      <c r="K4458" s="5"/>
    </row>
    <row r="4459">
      <c r="A4459" s="3" t="s">
        <v>4154</v>
      </c>
      <c r="B4459" s="3" t="s">
        <v>4037</v>
      </c>
      <c r="C4459" s="3" t="s">
        <v>4220</v>
      </c>
      <c r="D4459" s="4" t="str">
        <f>HYPERLINK("https://12go.asia/en/travel/bilaspur-jn/rani-kamalapati", "12Go Link")</f>
        <v>12Go Link</v>
      </c>
      <c r="E4459" s="3" t="s">
        <v>94</v>
      </c>
      <c r="K4459" s="5"/>
    </row>
    <row r="4460">
      <c r="A4460" s="3" t="s">
        <v>4154</v>
      </c>
      <c r="B4460" s="3" t="s">
        <v>3647</v>
      </c>
      <c r="C4460" s="3" t="s">
        <v>4221</v>
      </c>
      <c r="D4460" s="4" t="str">
        <f>HYPERLINK("https://12go.asia/en/travel/usalapur/delhi-safdarjung", "12Go Link")</f>
        <v>12Go Link</v>
      </c>
      <c r="E4460" s="3" t="s">
        <v>94</v>
      </c>
      <c r="K4460" s="5"/>
    </row>
    <row r="4461">
      <c r="A4461" s="3" t="s">
        <v>4154</v>
      </c>
      <c r="B4461" s="3" t="s">
        <v>3726</v>
      </c>
      <c r="C4461" s="3" t="s">
        <v>4222</v>
      </c>
      <c r="D4461" s="4" t="str">
        <f>HYPERLINK("https://12go.asia/en/travel/bilaspur/habibganj", "12Go Link")</f>
        <v>12Go Link</v>
      </c>
      <c r="E4461" s="3" t="s">
        <v>94</v>
      </c>
      <c r="K4461" s="5"/>
    </row>
    <row r="4462">
      <c r="A4462" s="3" t="s">
        <v>4154</v>
      </c>
      <c r="B4462" s="3" t="s">
        <v>3638</v>
      </c>
      <c r="C4462" s="3" t="s">
        <v>4223</v>
      </c>
      <c r="D4462" s="4" t="str">
        <f>HYPERLINK("https://12go.asia/en/travel/bilaspur-jn/secunderabad", "12Go Link")</f>
        <v>12Go Link</v>
      </c>
      <c r="E4462" s="3" t="s">
        <v>94</v>
      </c>
      <c r="K4462" s="5"/>
    </row>
    <row r="4463">
      <c r="A4463" s="3" t="s">
        <v>4154</v>
      </c>
      <c r="B4463" s="3" t="s">
        <v>3638</v>
      </c>
      <c r="C4463" s="3" t="s">
        <v>4224</v>
      </c>
      <c r="D4463" s="4" t="str">
        <f>HYPERLINK("https://12go.asia/en/travel/bilaspur/hyderabad", "12Go Link")</f>
        <v>12Go Link</v>
      </c>
      <c r="E4463" s="3" t="s">
        <v>94</v>
      </c>
      <c r="K4463" s="5"/>
    </row>
    <row r="4464">
      <c r="A4464" s="3" t="s">
        <v>4154</v>
      </c>
      <c r="B4464" s="3" t="s">
        <v>4225</v>
      </c>
      <c r="C4464" s="3" t="s">
        <v>4226</v>
      </c>
      <c r="D4464" s="4" t="str">
        <f>HYPERLINK("https://12go.asia/en/travel/bilaspur-jn/indore-jn-bg", "12Go Link")</f>
        <v>12Go Link</v>
      </c>
      <c r="E4464" s="3" t="s">
        <v>94</v>
      </c>
      <c r="K4464" s="5"/>
    </row>
    <row r="4465">
      <c r="A4465" s="3" t="s">
        <v>4154</v>
      </c>
      <c r="B4465" s="3" t="s">
        <v>4225</v>
      </c>
      <c r="C4465" s="3" t="s">
        <v>4227</v>
      </c>
      <c r="D4465" s="4" t="str">
        <f>HYPERLINK("https://12go.asia/en/travel/bilaspur/indore", "12Go Link")</f>
        <v>12Go Link</v>
      </c>
      <c r="E4465" s="3" t="s">
        <v>94</v>
      </c>
      <c r="K4465" s="5"/>
    </row>
    <row r="4466">
      <c r="A4466" s="3" t="s">
        <v>4154</v>
      </c>
      <c r="B4466" s="3" t="s">
        <v>4075</v>
      </c>
      <c r="C4466" s="3" t="s">
        <v>4228</v>
      </c>
      <c r="D4466" s="4" t="str">
        <f>HYPERLINK("https://12go.asia/en/travel/bilaspur/punjab", "12Go Link")</f>
        <v>12Go Link</v>
      </c>
      <c r="E4466" s="3" t="s">
        <v>94</v>
      </c>
      <c r="K4466" s="5"/>
    </row>
    <row r="4467">
      <c r="A4467" s="3" t="s">
        <v>4154</v>
      </c>
      <c r="B4467" s="3" t="s">
        <v>4229</v>
      </c>
      <c r="C4467" s="3" t="s">
        <v>4230</v>
      </c>
      <c r="D4467" s="4" t="str">
        <f>HYPERLINK("https://12go.asia/en/travel/bilaspur-jn/raigarh", "12Go Link")</f>
        <v>12Go Link</v>
      </c>
      <c r="E4467" s="3" t="s">
        <v>94</v>
      </c>
      <c r="K4467" s="5"/>
    </row>
    <row r="4468">
      <c r="A4468" s="3" t="s">
        <v>4154</v>
      </c>
      <c r="B4468" s="3" t="s">
        <v>4229</v>
      </c>
      <c r="C4468" s="3" t="s">
        <v>4231</v>
      </c>
      <c r="D4468" s="4" t="str">
        <f>HYPERLINK("https://12go.asia/en/travel/bilaspur/raigarh", "12Go Link")</f>
        <v>12Go Link</v>
      </c>
      <c r="E4468" s="3" t="s">
        <v>94</v>
      </c>
      <c r="K4468" s="5"/>
    </row>
    <row r="4469">
      <c r="A4469" s="3" t="s">
        <v>4154</v>
      </c>
      <c r="B4469" s="3" t="s">
        <v>4143</v>
      </c>
      <c r="C4469" s="3" t="s">
        <v>4232</v>
      </c>
      <c r="D4469" s="4" t="str">
        <f>HYPERLINK("https://12go.asia/en/travel/bilaspur/telangana", "12Go Link")</f>
        <v>12Go Link</v>
      </c>
      <c r="E4469" s="3" t="s">
        <v>94</v>
      </c>
      <c r="K4469" s="5"/>
    </row>
    <row r="4470">
      <c r="A4470" s="3" t="s">
        <v>4154</v>
      </c>
      <c r="B4470" s="3" t="s">
        <v>4233</v>
      </c>
      <c r="C4470" s="3" t="s">
        <v>4234</v>
      </c>
      <c r="D4470" s="4" t="str">
        <f>HYPERLINK("https://12go.asia/en/travel/bilaspur/uttarakhand", "12Go Link")</f>
        <v>12Go Link</v>
      </c>
      <c r="E4470" s="3" t="s">
        <v>94</v>
      </c>
      <c r="K4470" s="5"/>
    </row>
    <row r="4471">
      <c r="A4471" s="3" t="s">
        <v>4154</v>
      </c>
      <c r="B4471" s="3" t="s">
        <v>186</v>
      </c>
      <c r="C4471" s="3" t="s">
        <v>4235</v>
      </c>
      <c r="D4471" s="4" t="str">
        <f>HYPERLINK("https://12go.asia/en/travel/bilaspur-jn/vadodara", "12Go Link")</f>
        <v>12Go Link</v>
      </c>
      <c r="E4471" s="3" t="s">
        <v>94</v>
      </c>
      <c r="K4471" s="5"/>
    </row>
    <row r="4472">
      <c r="A4472" s="3" t="s">
        <v>4154</v>
      </c>
      <c r="B4472" s="3" t="s">
        <v>186</v>
      </c>
      <c r="C4472" s="3" t="s">
        <v>4236</v>
      </c>
      <c r="D4472" s="4" t="str">
        <f>HYPERLINK("https://12go.asia/en/travel/bilaspur/vadodara", "12Go Link")</f>
        <v>12Go Link</v>
      </c>
      <c r="E4472" s="3" t="s">
        <v>94</v>
      </c>
      <c r="K4472" s="5"/>
    </row>
    <row r="4473">
      <c r="A4473" s="3" t="s">
        <v>4154</v>
      </c>
      <c r="B4473" s="3" t="s">
        <v>4030</v>
      </c>
      <c r="C4473" s="3" t="s">
        <v>4237</v>
      </c>
      <c r="D4473" s="4" t="str">
        <f>HYPERLINK("https://12go.asia/en/travel/bilaspur-jn/visakhapatnam", "12Go Link")</f>
        <v>12Go Link</v>
      </c>
      <c r="E4473" s="3" t="s">
        <v>94</v>
      </c>
      <c r="K4473" s="5"/>
    </row>
    <row r="4474">
      <c r="A4474" s="3" t="s">
        <v>4154</v>
      </c>
      <c r="B4474" s="3" t="s">
        <v>4030</v>
      </c>
      <c r="C4474" s="3" t="s">
        <v>4238</v>
      </c>
      <c r="D4474" s="4" t="str">
        <f>HYPERLINK("https://12go.asia/en/travel/bilaspur/visakhapatnam", "12Go Link")</f>
        <v>12Go Link</v>
      </c>
      <c r="E4474" s="3" t="s">
        <v>94</v>
      </c>
      <c r="K4474" s="5"/>
    </row>
    <row r="4475">
      <c r="A4475" s="3" t="s">
        <v>4239</v>
      </c>
      <c r="B4475" s="3" t="s">
        <v>3647</v>
      </c>
      <c r="C4475" s="3" t="s">
        <v>4240</v>
      </c>
      <c r="D4475" s="4" t="str">
        <f>HYPERLINK("https://12go.asia/en/travel/bina-junction/delhi-safdarjung", "12Go Link")</f>
        <v>12Go Link</v>
      </c>
      <c r="E4475" s="3" t="s">
        <v>94</v>
      </c>
      <c r="K4475" s="5"/>
    </row>
    <row r="4476">
      <c r="A4476" s="3" t="s">
        <v>4239</v>
      </c>
      <c r="B4476" s="3" t="s">
        <v>3842</v>
      </c>
      <c r="C4476" s="3" t="s">
        <v>4241</v>
      </c>
      <c r="D4476" s="4" t="str">
        <f>HYPERLINK("https://12go.asia/en/travel/bina-junction/new-delhi", "12Go Link")</f>
        <v>12Go Link</v>
      </c>
      <c r="E4476" s="3" t="s">
        <v>94</v>
      </c>
      <c r="K4476" s="5"/>
    </row>
    <row r="4477">
      <c r="A4477" s="3" t="s">
        <v>4239</v>
      </c>
      <c r="B4477" s="3" t="s">
        <v>3842</v>
      </c>
      <c r="C4477" s="3" t="s">
        <v>4242</v>
      </c>
      <c r="D4477" s="4" t="str">
        <f>HYPERLINK("https://12go.asia/en/travel/bina/new-delhi", "12Go Link")</f>
        <v>12Go Link</v>
      </c>
      <c r="E4477" s="3" t="s">
        <v>94</v>
      </c>
      <c r="K4477" s="5"/>
    </row>
    <row r="4478">
      <c r="A4478" s="3" t="s">
        <v>4239</v>
      </c>
      <c r="B4478" s="3" t="s">
        <v>4077</v>
      </c>
      <c r="C4478" s="3" t="s">
        <v>4243</v>
      </c>
      <c r="D4478" s="4" t="str">
        <f>HYPERLINK("https://12go.asia/en/travel/bina-junction/saugor", "12Go Link")</f>
        <v>12Go Link</v>
      </c>
      <c r="E4478" s="3" t="s">
        <v>94</v>
      </c>
      <c r="K4478" s="5"/>
    </row>
    <row r="4479">
      <c r="A4479" s="3" t="s">
        <v>4239</v>
      </c>
      <c r="B4479" s="3" t="s">
        <v>4077</v>
      </c>
      <c r="C4479" s="3" t="s">
        <v>4244</v>
      </c>
      <c r="D4479" s="4" t="str">
        <f>HYPERLINK("https://12go.asia/en/travel/bina/sagar", "12Go Link")</f>
        <v>12Go Link</v>
      </c>
      <c r="E4479" s="3" t="s">
        <v>94</v>
      </c>
      <c r="K4479" s="5"/>
    </row>
    <row r="4480">
      <c r="A4480" s="3" t="s">
        <v>4245</v>
      </c>
      <c r="B4480" s="3" t="s">
        <v>4113</v>
      </c>
      <c r="C4480" s="3" t="s">
        <v>4246</v>
      </c>
      <c r="D4480" s="4" t="str">
        <f>HYPERLINK("https://12go.asia/en/travel/boisar/borivali", "12Go Link")</f>
        <v>12Go Link</v>
      </c>
      <c r="E4480" s="3" t="s">
        <v>94</v>
      </c>
      <c r="K4480" s="5"/>
    </row>
    <row r="4481">
      <c r="A4481" s="3" t="s">
        <v>4245</v>
      </c>
      <c r="B4481" s="3" t="s">
        <v>180</v>
      </c>
      <c r="C4481" s="3" t="s">
        <v>4247</v>
      </c>
      <c r="D4481" s="4" t="str">
        <f>HYPERLINK("https://12go.asia/en/travel/boisar/surat", "12Go Link")</f>
        <v>12Go Link</v>
      </c>
      <c r="E4481" s="3" t="s">
        <v>94</v>
      </c>
      <c r="K4481" s="5"/>
    </row>
    <row r="4482">
      <c r="A4482" s="3" t="s">
        <v>4113</v>
      </c>
      <c r="B4482" s="3" t="s">
        <v>4245</v>
      </c>
      <c r="C4482" s="3" t="s">
        <v>4248</v>
      </c>
      <c r="D4482" s="4" t="str">
        <f>HYPERLINK("https://12go.asia/en/travel/borivali/boisar", "12Go Link")</f>
        <v>12Go Link</v>
      </c>
      <c r="E4482" s="3" t="s">
        <v>94</v>
      </c>
      <c r="K4482" s="5"/>
    </row>
    <row r="4483">
      <c r="A4483" s="3" t="s">
        <v>4113</v>
      </c>
      <c r="B4483" s="3" t="s">
        <v>4249</v>
      </c>
      <c r="C4483" s="3" t="s">
        <v>4250</v>
      </c>
      <c r="D4483" s="4" t="str">
        <f>HYPERLINK("https://12go.asia/en/travel/bandra-terminus/dondaicha", "12Go Link")</f>
        <v>12Go Link</v>
      </c>
      <c r="E4483" s="3" t="s">
        <v>94</v>
      </c>
      <c r="K4483" s="5"/>
    </row>
    <row r="4484">
      <c r="A4484" s="3" t="s">
        <v>4113</v>
      </c>
      <c r="B4484" s="3" t="s">
        <v>4249</v>
      </c>
      <c r="C4484" s="3" t="s">
        <v>4251</v>
      </c>
      <c r="D4484" s="4" t="str">
        <f>HYPERLINK("https://12go.asia/en/travel/borivali/dondaicha", "12Go Link")</f>
        <v>12Go Link</v>
      </c>
      <c r="E4484" s="3" t="s">
        <v>94</v>
      </c>
      <c r="K4484" s="5"/>
    </row>
    <row r="4485">
      <c r="A4485" s="3" t="s">
        <v>4113</v>
      </c>
      <c r="B4485" s="3" t="s">
        <v>155</v>
      </c>
      <c r="C4485" s="3" t="s">
        <v>4252</v>
      </c>
      <c r="D4485" s="4" t="str">
        <f>HYPERLINK("https://12go.asia/en/travel/bandra-terminus/songadh", "12Go Link")</f>
        <v>12Go Link</v>
      </c>
      <c r="E4485" s="3" t="s">
        <v>94</v>
      </c>
      <c r="K4485" s="5"/>
    </row>
    <row r="4486">
      <c r="A4486" s="3" t="s">
        <v>4113</v>
      </c>
      <c r="B4486" s="3" t="s">
        <v>4253</v>
      </c>
      <c r="C4486" s="3" t="s">
        <v>4254</v>
      </c>
      <c r="D4486" s="4" t="str">
        <f>HYPERLINK("https://12go.asia/en/travel/bandra-terminus/junagadh-junction", "12Go Link")</f>
        <v>12Go Link</v>
      </c>
      <c r="E4486" s="3" t="s">
        <v>94</v>
      </c>
      <c r="K4486" s="5"/>
    </row>
    <row r="4487">
      <c r="A4487" s="3" t="s">
        <v>4113</v>
      </c>
      <c r="B4487" s="3" t="s">
        <v>4253</v>
      </c>
      <c r="C4487" s="3" t="s">
        <v>4255</v>
      </c>
      <c r="D4487" s="4" t="str">
        <f>HYPERLINK("https://12go.asia/en/travel/borivali/junagadh", "12Go Link")</f>
        <v>12Go Link</v>
      </c>
      <c r="E4487" s="3" t="s">
        <v>94</v>
      </c>
      <c r="K4487" s="5"/>
    </row>
    <row r="4488">
      <c r="A4488" s="3" t="s">
        <v>4113</v>
      </c>
      <c r="B4488" s="3" t="s">
        <v>4253</v>
      </c>
      <c r="C4488" s="3" t="s">
        <v>4256</v>
      </c>
      <c r="D4488" s="4" t="str">
        <f>HYPERLINK("https://12go.asia/en/travel/borivali/junagadh-junction", "12Go Link")</f>
        <v>12Go Link</v>
      </c>
      <c r="E4488" s="3" t="s">
        <v>94</v>
      </c>
      <c r="K4488" s="5"/>
    </row>
    <row r="4489">
      <c r="A4489" s="3" t="s">
        <v>4113</v>
      </c>
      <c r="B4489" s="3" t="s">
        <v>4257</v>
      </c>
      <c r="C4489" s="3" t="s">
        <v>4258</v>
      </c>
      <c r="D4489" s="4" t="str">
        <f>HYPERLINK("https://12go.asia/en/travel/borivali/khaira", "12Go Link")</f>
        <v>12Go Link</v>
      </c>
      <c r="E4489" s="3" t="s">
        <v>94</v>
      </c>
      <c r="K4489" s="5"/>
    </row>
    <row r="4490">
      <c r="A4490" s="3" t="s">
        <v>4113</v>
      </c>
      <c r="B4490" s="3" t="s">
        <v>4259</v>
      </c>
      <c r="C4490" s="3" t="s">
        <v>4260</v>
      </c>
      <c r="D4490" s="4" t="str">
        <f>HYPERLINK("https://12go.asia/en/travel/borivali/kim", "12Go Link")</f>
        <v>12Go Link</v>
      </c>
      <c r="E4490" s="3" t="s">
        <v>94</v>
      </c>
      <c r="K4490" s="5"/>
    </row>
    <row r="4491">
      <c r="A4491" s="3" t="s">
        <v>4113</v>
      </c>
      <c r="B4491" s="3" t="s">
        <v>4261</v>
      </c>
      <c r="C4491" s="3" t="s">
        <v>4262</v>
      </c>
      <c r="D4491" s="4" t="str">
        <f>HYPERLINK("https://12go.asia/en/travel/borivali/kosamba", "12Go Link")</f>
        <v>12Go Link</v>
      </c>
      <c r="E4491" s="3" t="s">
        <v>94</v>
      </c>
      <c r="K4491" s="5"/>
    </row>
    <row r="4492">
      <c r="A4492" s="3" t="s">
        <v>4113</v>
      </c>
      <c r="B4492" s="3" t="s">
        <v>4261</v>
      </c>
      <c r="C4492" s="3" t="s">
        <v>4263</v>
      </c>
      <c r="D4492" s="4" t="str">
        <f>HYPERLINK("https://12go.asia/en/travel/borivali/kosamba-junction", "12Go Link")</f>
        <v>12Go Link</v>
      </c>
      <c r="E4492" s="3" t="s">
        <v>94</v>
      </c>
      <c r="K4492" s="5"/>
    </row>
    <row r="4493">
      <c r="A4493" s="3" t="s">
        <v>4113</v>
      </c>
      <c r="B4493" s="3" t="s">
        <v>4264</v>
      </c>
      <c r="C4493" s="3" t="s">
        <v>4265</v>
      </c>
      <c r="D4493" s="4" t="str">
        <f>HYPERLINK("https://12go.asia/en/travel/borivali/mahesana-junction", "12Go Link")</f>
        <v>12Go Link</v>
      </c>
      <c r="E4493" s="3" t="s">
        <v>94</v>
      </c>
      <c r="K4493" s="5"/>
    </row>
    <row r="4494">
      <c r="A4494" s="3" t="s">
        <v>4113</v>
      </c>
      <c r="B4494" s="3" t="s">
        <v>4264</v>
      </c>
      <c r="C4494" s="3" t="s">
        <v>4266</v>
      </c>
      <c r="D4494" s="4" t="str">
        <f>HYPERLINK("https://12go.asia/en/travel/borivali/mehsana", "12Go Link")</f>
        <v>12Go Link</v>
      </c>
      <c r="E4494" s="3" t="s">
        <v>94</v>
      </c>
      <c r="K4494" s="5"/>
    </row>
    <row r="4495">
      <c r="A4495" s="3" t="s">
        <v>4113</v>
      </c>
      <c r="B4495" s="3" t="s">
        <v>4267</v>
      </c>
      <c r="C4495" s="3" t="s">
        <v>4268</v>
      </c>
      <c r="D4495" s="4" t="str">
        <f>HYPERLINK("https://12go.asia/en/travel/borivali/mount-abu", "12Go Link")</f>
        <v>12Go Link</v>
      </c>
      <c r="E4495" s="3" t="s">
        <v>94</v>
      </c>
      <c r="K4495" s="5"/>
    </row>
    <row r="4496">
      <c r="A4496" s="3" t="s">
        <v>4113</v>
      </c>
      <c r="B4496" s="3" t="s">
        <v>3633</v>
      </c>
      <c r="C4496" s="3" t="s">
        <v>4269</v>
      </c>
      <c r="D4496" s="4" t="str">
        <f>HYPERLINK("https://12go.asia/en/travel/bandra-terminus/rani", "12Go Link")</f>
        <v>12Go Link</v>
      </c>
      <c r="E4496" s="3" t="s">
        <v>94</v>
      </c>
      <c r="K4496" s="5"/>
    </row>
    <row r="4497">
      <c r="A4497" s="3" t="s">
        <v>4113</v>
      </c>
      <c r="B4497" s="3" t="s">
        <v>4270</v>
      </c>
      <c r="C4497" s="3" t="s">
        <v>4271</v>
      </c>
      <c r="D4497" s="4" t="str">
        <f>HYPERLINK("https://12go.asia/en/travel/bandra-terminus/velankanni", "12Go Link")</f>
        <v>12Go Link</v>
      </c>
      <c r="E4497" s="3" t="s">
        <v>94</v>
      </c>
      <c r="K4497" s="5"/>
    </row>
    <row r="4498">
      <c r="A4498" s="3" t="s">
        <v>4113</v>
      </c>
      <c r="B4498" s="3" t="s">
        <v>4270</v>
      </c>
      <c r="C4498" s="3" t="s">
        <v>4272</v>
      </c>
      <c r="D4498" s="4" t="str">
        <f>HYPERLINK("https://12go.asia/en/travel/borivali/velankanni", "12Go Link")</f>
        <v>12Go Link</v>
      </c>
      <c r="E4498" s="3" t="s">
        <v>94</v>
      </c>
      <c r="K4498" s="5"/>
    </row>
    <row r="4499">
      <c r="A4499" s="3" t="s">
        <v>4113</v>
      </c>
      <c r="B4499" s="3" t="s">
        <v>4273</v>
      </c>
      <c r="C4499" s="3" t="s">
        <v>4274</v>
      </c>
      <c r="D4499" s="4" t="str">
        <f>HYPERLINK("https://12go.asia/en/travel/borivali/vyara", "12Go Link")</f>
        <v>12Go Link</v>
      </c>
      <c r="E4499" s="3" t="s">
        <v>94</v>
      </c>
      <c r="K4499" s="5"/>
    </row>
    <row r="4500">
      <c r="A4500" s="3" t="s">
        <v>3866</v>
      </c>
      <c r="B4500" s="3" t="s">
        <v>3715</v>
      </c>
      <c r="C4500" s="3" t="s">
        <v>4275</v>
      </c>
      <c r="D4500" s="4" t="str">
        <f>HYPERLINK("https://12go.asia/en/travel/brahmapur/chennai-central", "12Go Link")</f>
        <v>12Go Link</v>
      </c>
      <c r="E4500" s="3" t="s">
        <v>94</v>
      </c>
      <c r="K4500" s="5"/>
    </row>
    <row r="4501">
      <c r="A4501" s="3" t="s">
        <v>3866</v>
      </c>
      <c r="B4501" s="3" t="s">
        <v>3715</v>
      </c>
      <c r="C4501" s="3" t="s">
        <v>4276</v>
      </c>
      <c r="D4501" s="4" t="str">
        <f>HYPERLINK("https://12go.asia/en/travel/brahmapur/perambur", "12Go Link")</f>
        <v>12Go Link</v>
      </c>
      <c r="E4501" s="3" t="s">
        <v>94</v>
      </c>
      <c r="K4501" s="5"/>
    </row>
    <row r="4502">
      <c r="A4502" s="3" t="s">
        <v>3866</v>
      </c>
      <c r="B4502" s="3" t="s">
        <v>4277</v>
      </c>
      <c r="C4502" s="3" t="s">
        <v>4278</v>
      </c>
      <c r="D4502" s="4" t="str">
        <f>HYPERLINK("https://12go.asia/en/travel/brahmapur/coimbatore", "12Go Link")</f>
        <v>12Go Link</v>
      </c>
      <c r="E4502" s="3" t="s">
        <v>94</v>
      </c>
      <c r="K4502" s="5"/>
    </row>
    <row r="4503">
      <c r="A4503" s="3" t="s">
        <v>3866</v>
      </c>
      <c r="B4503" s="3" t="s">
        <v>4279</v>
      </c>
      <c r="C4503" s="3" t="s">
        <v>4280</v>
      </c>
      <c r="D4503" s="4" t="str">
        <f>HYPERLINK("https://12go.asia/en/travel/brahmapur/cuttack", "12Go Link")</f>
        <v>12Go Link</v>
      </c>
      <c r="E4503" s="3" t="s">
        <v>94</v>
      </c>
      <c r="K4503" s="5"/>
    </row>
    <row r="4504">
      <c r="A4504" s="3" t="s">
        <v>3866</v>
      </c>
      <c r="B4504" s="3" t="s">
        <v>3638</v>
      </c>
      <c r="C4504" s="3" t="s">
        <v>4281</v>
      </c>
      <c r="D4504" s="4" t="str">
        <f>HYPERLINK("https://12go.asia/en/travel/brahmapur/hyderabad-decan", "12Go Link")</f>
        <v>12Go Link</v>
      </c>
      <c r="E4504" s="3" t="s">
        <v>94</v>
      </c>
      <c r="K4504" s="5"/>
    </row>
    <row r="4505">
      <c r="A4505" s="3" t="s">
        <v>3866</v>
      </c>
      <c r="B4505" s="3" t="s">
        <v>3704</v>
      </c>
      <c r="C4505" s="3" t="s">
        <v>4282</v>
      </c>
      <c r="D4505" s="4" t="str">
        <f>HYPERLINK("https://12go.asia/en/travel/brahmapur/santragachi-junction", "12Go Link")</f>
        <v>12Go Link</v>
      </c>
      <c r="E4505" s="3" t="s">
        <v>94</v>
      </c>
      <c r="K4505" s="5"/>
    </row>
    <row r="4506">
      <c r="A4506" s="3" t="s">
        <v>3866</v>
      </c>
      <c r="B4506" s="3" t="s">
        <v>3678</v>
      </c>
      <c r="C4506" s="3" t="s">
        <v>4283</v>
      </c>
      <c r="D4506" s="4" t="str">
        <f>HYPERLINK("https://12go.asia/en/travel/brahmapur/lingampalli", "12Go Link")</f>
        <v>12Go Link</v>
      </c>
      <c r="E4506" s="3" t="s">
        <v>94</v>
      </c>
      <c r="K4506" s="5"/>
    </row>
    <row r="4507">
      <c r="A4507" s="3" t="s">
        <v>4284</v>
      </c>
      <c r="B4507" s="3" t="s">
        <v>167</v>
      </c>
      <c r="C4507" s="3" t="s">
        <v>4285</v>
      </c>
      <c r="D4507" s="4" t="str">
        <f>HYPERLINK("https://12go.asia/en/travel/budaun/mathura", "12Go Link")</f>
        <v>12Go Link</v>
      </c>
      <c r="E4507" s="3" t="s">
        <v>94</v>
      </c>
      <c r="K4507" s="5"/>
    </row>
    <row r="4508">
      <c r="A4508" s="3" t="s">
        <v>4284</v>
      </c>
      <c r="B4508" s="3" t="s">
        <v>167</v>
      </c>
      <c r="C4508" s="3" t="s">
        <v>4286</v>
      </c>
      <c r="D4508" s="4" t="str">
        <f>HYPERLINK("https://12go.asia/en/travel/budaun/mathura-jn", "12Go Link")</f>
        <v>12Go Link</v>
      </c>
      <c r="E4508" s="3" t="s">
        <v>94</v>
      </c>
      <c r="K4508" s="5"/>
    </row>
    <row r="4509">
      <c r="A4509" s="3" t="s">
        <v>4287</v>
      </c>
      <c r="B4509" s="3" t="s">
        <v>3847</v>
      </c>
      <c r="C4509" s="3" t="s">
        <v>4288</v>
      </c>
      <c r="D4509" s="4" t="str">
        <f>HYPERLINK("https://12go.asia/en/travel/buxar/bangalore", "12Go Link")</f>
        <v>12Go Link</v>
      </c>
      <c r="E4509" s="3" t="s">
        <v>94</v>
      </c>
      <c r="K4509" s="5"/>
    </row>
    <row r="4510">
      <c r="A4510" s="3" t="s">
        <v>4287</v>
      </c>
      <c r="B4510" s="3" t="s">
        <v>3847</v>
      </c>
      <c r="C4510" s="3" t="s">
        <v>4289</v>
      </c>
      <c r="D4510" s="4" t="str">
        <f>HYPERLINK("https://12go.asia/en/travel/buxar/new-bengaluru-terminal", "12Go Link")</f>
        <v>12Go Link</v>
      </c>
      <c r="E4510" s="3" t="s">
        <v>94</v>
      </c>
      <c r="K4510" s="5"/>
    </row>
    <row r="4511">
      <c r="A4511" s="3" t="s">
        <v>4287</v>
      </c>
      <c r="B4511" s="3" t="s">
        <v>3924</v>
      </c>
      <c r="C4511" s="3" t="s">
        <v>4290</v>
      </c>
      <c r="D4511" s="4" t="str">
        <f>HYPERLINK("https://12go.asia/en/travel/buxar/tatanagar", "12Go Link")</f>
        <v>12Go Link</v>
      </c>
      <c r="E4511" s="3" t="s">
        <v>94</v>
      </c>
      <c r="K4511" s="5"/>
    </row>
    <row r="4512">
      <c r="A4512" s="3" t="s">
        <v>4291</v>
      </c>
      <c r="B4512" s="3" t="s">
        <v>3647</v>
      </c>
      <c r="C4512" s="3" t="s">
        <v>4292</v>
      </c>
      <c r="D4512" s="4" t="str">
        <f>HYPERLINK("https://12go.asia/en/travel/chalisgaon/delhi", "12Go Link")</f>
        <v>12Go Link</v>
      </c>
      <c r="E4512" s="3" t="s">
        <v>94</v>
      </c>
      <c r="K4512" s="5"/>
    </row>
    <row r="4513">
      <c r="A4513" s="3" t="s">
        <v>3939</v>
      </c>
      <c r="B4513" s="3" t="s">
        <v>4293</v>
      </c>
      <c r="C4513" s="3" t="s">
        <v>4294</v>
      </c>
      <c r="D4513" s="4" t="str">
        <f>HYPERLINK("https://12go.asia/en/travel/chandigarh/ganaur", "12Go Link")</f>
        <v>12Go Link</v>
      </c>
      <c r="E4513" s="3" t="s">
        <v>94</v>
      </c>
      <c r="K4513" s="5"/>
    </row>
    <row r="4514">
      <c r="A4514" s="3" t="s">
        <v>3939</v>
      </c>
      <c r="B4514" s="3" t="s">
        <v>4267</v>
      </c>
      <c r="C4514" s="3" t="s">
        <v>4295</v>
      </c>
      <c r="D4514" s="4" t="str">
        <f>HYPERLINK("https://12go.asia/en/travel/chandigarh/abu-road", "12Go Link")</f>
        <v>12Go Link</v>
      </c>
      <c r="E4514" s="3" t="s">
        <v>94</v>
      </c>
      <c r="K4514" s="5"/>
    </row>
    <row r="4515">
      <c r="A4515" s="3" t="s">
        <v>3939</v>
      </c>
      <c r="B4515" s="3" t="s">
        <v>4267</v>
      </c>
      <c r="C4515" s="3" t="s">
        <v>4296</v>
      </c>
      <c r="D4515" s="4" t="str">
        <f>HYPERLINK("https://12go.asia/en/travel/chandigarh/mount-abu", "12Go Link")</f>
        <v>12Go Link</v>
      </c>
      <c r="E4515" s="3" t="s">
        <v>94</v>
      </c>
      <c r="K4515" s="5"/>
    </row>
    <row r="4516">
      <c r="A4516" s="3" t="s">
        <v>4297</v>
      </c>
      <c r="B4516" s="3" t="s">
        <v>3822</v>
      </c>
      <c r="C4516" s="3" t="s">
        <v>4298</v>
      </c>
      <c r="D4516" s="4" t="str">
        <f>HYPERLINK("https://12go.asia/en/travel/chandipur/angul", "12Go Link")</f>
        <v>12Go Link</v>
      </c>
      <c r="E4516" s="3" t="s">
        <v>94</v>
      </c>
      <c r="K4516" s="5"/>
    </row>
    <row r="4517">
      <c r="A4517" s="3" t="s">
        <v>4297</v>
      </c>
      <c r="B4517" s="3" t="s">
        <v>3701</v>
      </c>
      <c r="C4517" s="3" t="s">
        <v>4299</v>
      </c>
      <c r="D4517" s="4" t="str">
        <f>HYPERLINK("https://12go.asia/en/travel/chandipur/howrah", "12Go Link")</f>
        <v>12Go Link</v>
      </c>
      <c r="E4517" s="3" t="s">
        <v>94</v>
      </c>
      <c r="K4517" s="5"/>
    </row>
    <row r="4518">
      <c r="A4518" s="3" t="s">
        <v>4297</v>
      </c>
      <c r="B4518" s="3" t="s">
        <v>3704</v>
      </c>
      <c r="C4518" s="3" t="s">
        <v>4300</v>
      </c>
      <c r="D4518" s="4" t="str">
        <f>HYPERLINK("https://12go.asia/en/travel/chandipur/kolkata", "12Go Link")</f>
        <v>12Go Link</v>
      </c>
      <c r="E4518" s="3" t="s">
        <v>94</v>
      </c>
      <c r="K4518" s="5"/>
    </row>
    <row r="4519">
      <c r="A4519" s="3" t="s">
        <v>4297</v>
      </c>
      <c r="B4519" s="3" t="s">
        <v>4130</v>
      </c>
      <c r="C4519" s="3" t="s">
        <v>4301</v>
      </c>
      <c r="D4519" s="4" t="str">
        <f>HYPERLINK("https://12go.asia/en/travel/chandipur/puri", "12Go Link")</f>
        <v>12Go Link</v>
      </c>
      <c r="E4519" s="3" t="s">
        <v>94</v>
      </c>
      <c r="K4519" s="5"/>
    </row>
    <row r="4520">
      <c r="A4520" s="3" t="s">
        <v>4297</v>
      </c>
      <c r="B4520" s="3" t="s">
        <v>3708</v>
      </c>
      <c r="C4520" s="3" t="s">
        <v>4302</v>
      </c>
      <c r="D4520" s="4" t="str">
        <f>HYPERLINK("https://12go.asia/en/travel/chandipur/west-bengal", "12Go Link")</f>
        <v>12Go Link</v>
      </c>
      <c r="E4520" s="3" t="s">
        <v>94</v>
      </c>
      <c r="K4520" s="5"/>
    </row>
    <row r="4521">
      <c r="A4521" s="3" t="s">
        <v>3869</v>
      </c>
      <c r="B4521" s="3" t="s">
        <v>163</v>
      </c>
      <c r="C4521" s="3" t="s">
        <v>4303</v>
      </c>
      <c r="D4521" s="4" t="str">
        <f>HYPERLINK("https://12go.asia/en/travel/chandrapur/maharashtra", "12Go Link")</f>
        <v>12Go Link</v>
      </c>
      <c r="E4521" s="3" t="s">
        <v>94</v>
      </c>
      <c r="K4521" s="5"/>
    </row>
    <row r="4522">
      <c r="A4522" s="3" t="s">
        <v>3869</v>
      </c>
      <c r="B4522" s="3" t="s">
        <v>3690</v>
      </c>
      <c r="C4522" s="3" t="s">
        <v>4304</v>
      </c>
      <c r="D4522" s="4" t="str">
        <f>HYPERLINK("https://12go.asia/en/travel/chandrapur/mumbai", "12Go Link")</f>
        <v>12Go Link</v>
      </c>
      <c r="E4522" s="3" t="s">
        <v>94</v>
      </c>
      <c r="K4522" s="5"/>
    </row>
    <row r="4523">
      <c r="A4523" s="3" t="s">
        <v>3869</v>
      </c>
      <c r="B4523" s="3" t="s">
        <v>3690</v>
      </c>
      <c r="C4523" s="3" t="s">
        <v>4305</v>
      </c>
      <c r="D4523" s="4" t="str">
        <f>HYPERLINK("https://12go.asia/en/travel/chandrapur/mumbai-cst", "12Go Link")</f>
        <v>12Go Link</v>
      </c>
      <c r="E4523" s="3" t="s">
        <v>94</v>
      </c>
      <c r="K4523" s="5"/>
    </row>
    <row r="4524">
      <c r="A4524" s="3" t="s">
        <v>3869</v>
      </c>
      <c r="B4524" s="3" t="s">
        <v>4133</v>
      </c>
      <c r="C4524" s="3" t="s">
        <v>4306</v>
      </c>
      <c r="D4524" s="4" t="str">
        <f>HYPERLINK("https://12go.asia/en/travel/chandrapur/sevagram", "12Go Link")</f>
        <v>12Go Link</v>
      </c>
      <c r="E4524" s="3" t="s">
        <v>94</v>
      </c>
      <c r="K4524" s="5"/>
    </row>
    <row r="4525">
      <c r="A4525" s="3" t="s">
        <v>3869</v>
      </c>
      <c r="B4525" s="3" t="s">
        <v>4135</v>
      </c>
      <c r="C4525" s="3" t="s">
        <v>4307</v>
      </c>
      <c r="D4525" s="4" t="str">
        <f>HYPERLINK("https://12go.asia/en/travel/chandrapur/wardha", "12Go Link")</f>
        <v>12Go Link</v>
      </c>
      <c r="E4525" s="3" t="s">
        <v>94</v>
      </c>
      <c r="K4525" s="5"/>
    </row>
    <row r="4526">
      <c r="A4526" s="3" t="s">
        <v>3869</v>
      </c>
      <c r="B4526" s="3" t="s">
        <v>4135</v>
      </c>
      <c r="C4526" s="3" t="s">
        <v>4308</v>
      </c>
      <c r="D4526" s="4" t="str">
        <f>HYPERLINK("https://12go.asia/en/travel/chandrapur/wardha-junction", "12Go Link")</f>
        <v>12Go Link</v>
      </c>
      <c r="E4526" s="3" t="s">
        <v>94</v>
      </c>
      <c r="K4526" s="5"/>
    </row>
    <row r="4527">
      <c r="A4527" s="3" t="s">
        <v>4309</v>
      </c>
      <c r="B4527" s="3" t="s">
        <v>4172</v>
      </c>
      <c r="C4527" s="3" t="s">
        <v>4310</v>
      </c>
      <c r="D4527" s="4" t="str">
        <f>HYPERLINK("https://12go.asia/en/travel/changanaseri/karnataka", "12Go Link")</f>
        <v>12Go Link</v>
      </c>
      <c r="E4527" s="3" t="s">
        <v>94</v>
      </c>
      <c r="K4527" s="5"/>
    </row>
    <row r="4528">
      <c r="A4528" s="3" t="s">
        <v>4311</v>
      </c>
      <c r="B4528" s="3" t="s">
        <v>3986</v>
      </c>
      <c r="C4528" s="3" t="s">
        <v>4312</v>
      </c>
      <c r="D4528" s="4" t="str">
        <f>HYPERLINK("https://12go.asia/en/travel/charkhi-dadri/jaipur", "12Go Link")</f>
        <v>12Go Link</v>
      </c>
      <c r="E4528" s="3" t="s">
        <v>94</v>
      </c>
      <c r="K4528" s="5"/>
    </row>
    <row r="4529">
      <c r="A4529" s="3" t="s">
        <v>4311</v>
      </c>
      <c r="B4529" s="3" t="s">
        <v>3633</v>
      </c>
      <c r="C4529" s="3" t="s">
        <v>4313</v>
      </c>
      <c r="D4529" s="4" t="str">
        <f>HYPERLINK("https://12go.asia/en/travel/charkhi-dadri/rajasthan", "12Go Link")</f>
        <v>12Go Link</v>
      </c>
      <c r="E4529" s="3" t="s">
        <v>94</v>
      </c>
      <c r="K4529" s="5"/>
    </row>
    <row r="4530">
      <c r="A4530" s="3" t="s">
        <v>4314</v>
      </c>
      <c r="B4530" s="3" t="s">
        <v>3769</v>
      </c>
      <c r="C4530" s="3" t="s">
        <v>4315</v>
      </c>
      <c r="D4530" s="4" t="str">
        <f>HYPERLINK("https://12go.asia/en/travel/chengalpattu/srirangam", "12Go Link")</f>
        <v>12Go Link</v>
      </c>
      <c r="E4530" s="3" t="s">
        <v>94</v>
      </c>
      <c r="K4530" s="5"/>
    </row>
    <row r="4531">
      <c r="A4531" s="3" t="s">
        <v>4314</v>
      </c>
      <c r="B4531" s="3" t="s">
        <v>3773</v>
      </c>
      <c r="C4531" s="3" t="s">
        <v>4316</v>
      </c>
      <c r="D4531" s="4" t="str">
        <f>HYPERLINK("https://12go.asia/en/travel/chengalpattu/tambaram", "12Go Link")</f>
        <v>12Go Link</v>
      </c>
      <c r="E4531" s="3" t="s">
        <v>94</v>
      </c>
      <c r="K4531" s="5"/>
    </row>
    <row r="4532">
      <c r="A4532" s="3" t="s">
        <v>4314</v>
      </c>
      <c r="B4532" s="3" t="s">
        <v>4317</v>
      </c>
      <c r="C4532" s="3" t="s">
        <v>4318</v>
      </c>
      <c r="D4532" s="4" t="str">
        <f>HYPERLINK("https://12go.asia/en/travel/chengalpattu/tenkasi", "12Go Link")</f>
        <v>12Go Link</v>
      </c>
      <c r="E4532" s="3" t="s">
        <v>94</v>
      </c>
      <c r="K4532" s="5"/>
    </row>
    <row r="4533">
      <c r="A4533" s="3" t="s">
        <v>4314</v>
      </c>
      <c r="B4533" s="3" t="s">
        <v>4317</v>
      </c>
      <c r="C4533" s="3" t="s">
        <v>4319</v>
      </c>
      <c r="D4533" s="4" t="str">
        <f>HYPERLINK("https://12go.asia/en/travel/chengalpattu/tenkasi-jn", "12Go Link")</f>
        <v>12Go Link</v>
      </c>
      <c r="E4533" s="3" t="s">
        <v>94</v>
      </c>
      <c r="K4533" s="5"/>
    </row>
    <row r="4534">
      <c r="A4534" s="3" t="s">
        <v>4320</v>
      </c>
      <c r="B4534" s="3" t="s">
        <v>3647</v>
      </c>
      <c r="C4534" s="3" t="s">
        <v>4321</v>
      </c>
      <c r="D4534" s="4" t="str">
        <f>HYPERLINK("https://12go.asia/en/travel/chengannur/delhi", "12Go Link")</f>
        <v>12Go Link</v>
      </c>
      <c r="E4534" s="3" t="s">
        <v>94</v>
      </c>
      <c r="K4534" s="5"/>
    </row>
    <row r="4535">
      <c r="A4535" s="3" t="s">
        <v>4320</v>
      </c>
      <c r="B4535" s="3" t="s">
        <v>4322</v>
      </c>
      <c r="C4535" s="3" t="s">
        <v>4323</v>
      </c>
      <c r="D4535" s="4" t="str">
        <f>HYPERLINK("https://12go.asia/en/travel/chengannur/kottayam", "12Go Link")</f>
        <v>12Go Link</v>
      </c>
      <c r="E4535" s="3" t="s">
        <v>94</v>
      </c>
      <c r="K4535" s="5"/>
    </row>
    <row r="4536">
      <c r="A4536" s="3" t="s">
        <v>4320</v>
      </c>
      <c r="B4536" s="3" t="s">
        <v>3625</v>
      </c>
      <c r="C4536" s="3" t="s">
        <v>4324</v>
      </c>
      <c r="D4536" s="4" t="str">
        <f>HYPERLINK("https://12go.asia/en/travel/chengannur/manipal", "12Go Link")</f>
        <v>12Go Link</v>
      </c>
      <c r="E4536" s="3" t="s">
        <v>8</v>
      </c>
      <c r="K4536" s="5"/>
    </row>
    <row r="4537">
      <c r="A4537" s="3" t="s">
        <v>4320</v>
      </c>
      <c r="B4537" s="3" t="s">
        <v>3842</v>
      </c>
      <c r="C4537" s="3" t="s">
        <v>4325</v>
      </c>
      <c r="D4537" s="4" t="str">
        <f>HYPERLINK("https://12go.asia/en/travel/chengannur/new-delhi", "12Go Link")</f>
        <v>12Go Link</v>
      </c>
      <c r="E4537" s="3" t="s">
        <v>94</v>
      </c>
      <c r="K4537" s="5"/>
    </row>
    <row r="4538">
      <c r="A4538" s="3" t="s">
        <v>4320</v>
      </c>
      <c r="B4538" s="3" t="s">
        <v>3582</v>
      </c>
      <c r="C4538" s="3" t="s">
        <v>4326</v>
      </c>
      <c r="D4538" s="4" t="str">
        <f>HYPERLINK("https://12go.asia/en/travel/chengannur/renigunta-junction", "12Go Link")</f>
        <v>12Go Link</v>
      </c>
      <c r="E4538" s="3" t="s">
        <v>94</v>
      </c>
      <c r="K4538" s="5"/>
    </row>
    <row r="4539">
      <c r="A4539" s="3" t="s">
        <v>4320</v>
      </c>
      <c r="B4539" s="3" t="s">
        <v>3582</v>
      </c>
      <c r="C4539" s="3" t="s">
        <v>4327</v>
      </c>
      <c r="D4539" s="4" t="str">
        <f>HYPERLINK("https://12go.asia/en/travel/chengannur/tirupati", "12Go Link")</f>
        <v>12Go Link</v>
      </c>
      <c r="E4539" s="3" t="s">
        <v>94</v>
      </c>
      <c r="K4539" s="5"/>
    </row>
    <row r="4540">
      <c r="A4540" s="3" t="s">
        <v>4320</v>
      </c>
      <c r="B4540" s="3" t="s">
        <v>4328</v>
      </c>
      <c r="C4540" s="3" t="s">
        <v>4329</v>
      </c>
      <c r="D4540" s="4" t="str">
        <f>HYPERLINK("https://12go.asia/en/travel/chengannur/udupi", "12Go Link")</f>
        <v>12Go Link</v>
      </c>
      <c r="E4540" s="3" t="s">
        <v>8</v>
      </c>
      <c r="K4540" s="5"/>
    </row>
    <row r="4541">
      <c r="A4541" s="3" t="s">
        <v>3715</v>
      </c>
      <c r="B4541" s="3" t="s">
        <v>4330</v>
      </c>
      <c r="C4541" s="3" t="s">
        <v>4331</v>
      </c>
      <c r="D4541" s="4" t="str">
        <f>HYPERLINK("https://12go.asia/en/travel/chennai-central/arakkonam", "12Go Link")</f>
        <v>12Go Link</v>
      </c>
      <c r="E4541" s="3" t="s">
        <v>94</v>
      </c>
      <c r="K4541" s="5"/>
    </row>
    <row r="4542">
      <c r="A4542" s="3" t="s">
        <v>3715</v>
      </c>
      <c r="B4542" s="3" t="s">
        <v>4330</v>
      </c>
      <c r="C4542" s="3" t="s">
        <v>4332</v>
      </c>
      <c r="D4542" s="4" t="str">
        <f>HYPERLINK("https://12go.asia/en/travel/chennai/arakkonam", "12Go Link")</f>
        <v>12Go Link</v>
      </c>
      <c r="E4542" s="3" t="s">
        <v>94</v>
      </c>
      <c r="K4542" s="5"/>
    </row>
    <row r="4543">
      <c r="A4543" s="3" t="s">
        <v>3715</v>
      </c>
      <c r="B4543" s="3" t="s">
        <v>4330</v>
      </c>
      <c r="C4543" s="3" t="s">
        <v>4333</v>
      </c>
      <c r="D4543" s="4" t="str">
        <f>HYPERLINK("https://12go.asia/en/travel/perambur/arakkonam", "12Go Link")</f>
        <v>12Go Link</v>
      </c>
      <c r="E4543" s="3" t="s">
        <v>94</v>
      </c>
      <c r="K4543" s="5"/>
    </row>
    <row r="4544">
      <c r="A4544" s="3" t="s">
        <v>3715</v>
      </c>
      <c r="B4544" s="3" t="s">
        <v>3847</v>
      </c>
      <c r="C4544" s="3" t="s">
        <v>4334</v>
      </c>
      <c r="D4544" s="4" t="str">
        <f>HYPERLINK("https://12go.asia/en/travel/chennai-central/yelahanka-junction", "12Go Link")</f>
        <v>12Go Link</v>
      </c>
      <c r="E4544" s="3" t="s">
        <v>94</v>
      </c>
      <c r="K4544" s="5"/>
    </row>
    <row r="4545">
      <c r="A4545" s="3" t="s">
        <v>3715</v>
      </c>
      <c r="B4545" s="3" t="s">
        <v>3931</v>
      </c>
      <c r="C4545" s="3" t="s">
        <v>4335</v>
      </c>
      <c r="D4545" s="4" t="str">
        <f>HYPERLINK("https://12go.asia/en/travel/chennai-central/bapatla", "12Go Link")</f>
        <v>12Go Link</v>
      </c>
      <c r="E4545" s="3" t="s">
        <v>94</v>
      </c>
      <c r="K4545" s="5"/>
    </row>
    <row r="4546">
      <c r="A4546" s="3" t="s">
        <v>3715</v>
      </c>
      <c r="B4546" s="3" t="s">
        <v>3931</v>
      </c>
      <c r="C4546" s="3" t="s">
        <v>4336</v>
      </c>
      <c r="D4546" s="4" t="str">
        <f>HYPERLINK("https://12go.asia/en/travel/chennai/bapatla", "12Go Link")</f>
        <v>12Go Link</v>
      </c>
      <c r="E4546" s="3" t="s">
        <v>94</v>
      </c>
      <c r="K4546" s="5"/>
    </row>
    <row r="4547">
      <c r="A4547" s="3" t="s">
        <v>3715</v>
      </c>
      <c r="B4547" s="3" t="s">
        <v>3931</v>
      </c>
      <c r="C4547" s="3" t="s">
        <v>4337</v>
      </c>
      <c r="D4547" s="4" t="str">
        <f>HYPERLINK("https://12go.asia/en/travel/perambur/bapatla", "12Go Link")</f>
        <v>12Go Link</v>
      </c>
      <c r="E4547" s="3" t="s">
        <v>94</v>
      </c>
      <c r="K4547" s="5"/>
    </row>
    <row r="4548">
      <c r="A4548" s="3" t="s">
        <v>3715</v>
      </c>
      <c r="B4548" s="3" t="s">
        <v>3866</v>
      </c>
      <c r="C4548" s="3" t="s">
        <v>4338</v>
      </c>
      <c r="D4548" s="4" t="str">
        <f>HYPERLINK("https://12go.asia/en/travel/chennai-central/brahmapur", "12Go Link")</f>
        <v>12Go Link</v>
      </c>
      <c r="E4548" s="3" t="s">
        <v>94</v>
      </c>
      <c r="K4548" s="5"/>
    </row>
    <row r="4549">
      <c r="A4549" s="3" t="s">
        <v>3715</v>
      </c>
      <c r="B4549" s="3" t="s">
        <v>3866</v>
      </c>
      <c r="C4549" s="3" t="s">
        <v>4339</v>
      </c>
      <c r="D4549" s="4" t="str">
        <f>HYPERLINK("https://12go.asia/en/travel/chennai/brahmapur", "12Go Link")</f>
        <v>12Go Link</v>
      </c>
      <c r="E4549" s="3" t="s">
        <v>94</v>
      </c>
      <c r="K4549" s="5"/>
    </row>
    <row r="4550">
      <c r="A4550" s="3" t="s">
        <v>3715</v>
      </c>
      <c r="B4550" s="3" t="s">
        <v>3866</v>
      </c>
      <c r="C4550" s="3" t="s">
        <v>4340</v>
      </c>
      <c r="D4550" s="4" t="str">
        <f>HYPERLINK("https://12go.asia/en/travel/perambur/brahmapur", "12Go Link")</f>
        <v>12Go Link</v>
      </c>
      <c r="E4550" s="3" t="s">
        <v>94</v>
      </c>
      <c r="K4550" s="5"/>
    </row>
    <row r="4551">
      <c r="A4551" s="3" t="s">
        <v>3715</v>
      </c>
      <c r="B4551" s="3" t="s">
        <v>4287</v>
      </c>
      <c r="C4551" s="3" t="s">
        <v>4341</v>
      </c>
      <c r="D4551" s="4" t="str">
        <f>HYPERLINK("https://12go.asia/en/travel/chennai/buxar", "12Go Link")</f>
        <v>12Go Link</v>
      </c>
      <c r="E4551" s="3" t="s">
        <v>94</v>
      </c>
      <c r="K4551" s="5"/>
    </row>
    <row r="4552">
      <c r="A4552" s="3" t="s">
        <v>3715</v>
      </c>
      <c r="B4552" s="3" t="s">
        <v>4287</v>
      </c>
      <c r="C4552" s="3" t="s">
        <v>4342</v>
      </c>
      <c r="D4552" s="4" t="str">
        <f>HYPERLINK("https://12go.asia/en/travel/perambur/buxar", "12Go Link")</f>
        <v>12Go Link</v>
      </c>
      <c r="E4552" s="3" t="s">
        <v>94</v>
      </c>
      <c r="K4552" s="5"/>
    </row>
    <row r="4553">
      <c r="A4553" s="3" t="s">
        <v>3715</v>
      </c>
      <c r="B4553" s="3" t="s">
        <v>3939</v>
      </c>
      <c r="C4553" s="3" t="s">
        <v>4343</v>
      </c>
      <c r="D4553" s="4" t="str">
        <f>HYPERLINK("https://12go.asia/en/travel/perambur/chandigarh", "12Go Link")</f>
        <v>12Go Link</v>
      </c>
      <c r="E4553" s="3" t="s">
        <v>94</v>
      </c>
      <c r="K4553" s="5"/>
    </row>
    <row r="4554">
      <c r="A4554" s="3" t="s">
        <v>3715</v>
      </c>
      <c r="B4554" s="3" t="s">
        <v>3715</v>
      </c>
      <c r="C4554" s="3" t="s">
        <v>4344</v>
      </c>
      <c r="D4554" s="4" t="str">
        <f>HYPERLINK("https://12go.asia/en/travel/chennai-central/perambur", "12Go Link")</f>
        <v>12Go Link</v>
      </c>
      <c r="E4554" s="3" t="s">
        <v>94</v>
      </c>
      <c r="K4554" s="5"/>
    </row>
    <row r="4555">
      <c r="A4555" s="3" t="s">
        <v>3715</v>
      </c>
      <c r="B4555" s="3" t="s">
        <v>3715</v>
      </c>
      <c r="C4555" s="3" t="s">
        <v>4345</v>
      </c>
      <c r="D4555" s="4" t="str">
        <f>HYPERLINK("https://12go.asia/en/travel/perambur/chennai-central", "12Go Link")</f>
        <v>12Go Link</v>
      </c>
      <c r="E4555" s="3" t="s">
        <v>94</v>
      </c>
      <c r="K4555" s="5"/>
    </row>
    <row r="4556">
      <c r="A4556" s="3" t="s">
        <v>3715</v>
      </c>
      <c r="B4556" s="3" t="s">
        <v>3715</v>
      </c>
      <c r="C4556" s="3" t="s">
        <v>4346</v>
      </c>
      <c r="D4556" s="4" t="str">
        <f>HYPERLINK("https://12go.asia/en/travel/perambur/chennai-egmore", "12Go Link")</f>
        <v>12Go Link</v>
      </c>
      <c r="E4556" s="3" t="s">
        <v>94</v>
      </c>
      <c r="K4556" s="5"/>
    </row>
    <row r="4557">
      <c r="A4557" s="3" t="s">
        <v>3715</v>
      </c>
      <c r="B4557" s="3" t="s">
        <v>4156</v>
      </c>
      <c r="C4557" s="3" t="s">
        <v>4347</v>
      </c>
      <c r="D4557" s="4" t="str">
        <f>HYPERLINK("https://12go.asia/en/travel/chennai/deoghar", "12Go Link")</f>
        <v>12Go Link</v>
      </c>
      <c r="E4557" s="3" t="s">
        <v>94</v>
      </c>
      <c r="K4557" s="5"/>
    </row>
    <row r="4558">
      <c r="A4558" s="3" t="s">
        <v>3715</v>
      </c>
      <c r="B4558" s="3" t="s">
        <v>3892</v>
      </c>
      <c r="C4558" s="3" t="s">
        <v>4348</v>
      </c>
      <c r="D4558" s="4" t="str">
        <f>HYPERLINK("https://12go.asia/en/travel/chennai/gopalpur-odisha", "12Go Link")</f>
        <v>12Go Link</v>
      </c>
      <c r="E4558" s="3" t="s">
        <v>94</v>
      </c>
      <c r="K4558" s="5"/>
    </row>
    <row r="4559">
      <c r="A4559" s="3" t="s">
        <v>3715</v>
      </c>
      <c r="B4559" s="3" t="s">
        <v>3945</v>
      </c>
      <c r="C4559" s="3" t="s">
        <v>4349</v>
      </c>
      <c r="D4559" s="4" t="str">
        <f>HYPERLINK("https://12go.asia/en/travel/chennai/jasidih-deoghar", "12Go Link")</f>
        <v>12Go Link</v>
      </c>
      <c r="E4559" s="3" t="s">
        <v>94</v>
      </c>
      <c r="K4559" s="5"/>
    </row>
    <row r="4560">
      <c r="A4560" s="3" t="s">
        <v>3715</v>
      </c>
      <c r="B4560" s="3" t="s">
        <v>3945</v>
      </c>
      <c r="C4560" s="3" t="s">
        <v>4350</v>
      </c>
      <c r="D4560" s="4" t="str">
        <f>HYPERLINK("https://12go.asia/en/travel/perambur/jasidih-junction", "12Go Link")</f>
        <v>12Go Link</v>
      </c>
      <c r="E4560" s="3" t="s">
        <v>94</v>
      </c>
      <c r="K4560" s="5"/>
    </row>
    <row r="4561">
      <c r="A4561" s="3" t="s">
        <v>3715</v>
      </c>
      <c r="B4561" s="3" t="s">
        <v>4351</v>
      </c>
      <c r="C4561" s="3" t="s">
        <v>4352</v>
      </c>
      <c r="D4561" s="4" t="str">
        <f>HYPERLINK("https://12go.asia/en/travel/chennai-central/kasaragod", "12Go Link")</f>
        <v>12Go Link</v>
      </c>
      <c r="E4561" s="3" t="s">
        <v>94</v>
      </c>
      <c r="K4561" s="5"/>
    </row>
    <row r="4562">
      <c r="A4562" s="3" t="s">
        <v>3715</v>
      </c>
      <c r="B4562" s="3" t="s">
        <v>4351</v>
      </c>
      <c r="C4562" s="3" t="s">
        <v>4353</v>
      </c>
      <c r="D4562" s="4" t="str">
        <f>HYPERLINK("https://12go.asia/en/travel/chennai-egmore/kasaragod", "12Go Link")</f>
        <v>12Go Link</v>
      </c>
      <c r="E4562" s="3" t="s">
        <v>94</v>
      </c>
      <c r="K4562" s="5"/>
    </row>
    <row r="4563">
      <c r="A4563" s="3" t="s">
        <v>3715</v>
      </c>
      <c r="B4563" s="3" t="s">
        <v>4351</v>
      </c>
      <c r="C4563" s="3" t="s">
        <v>4354</v>
      </c>
      <c r="D4563" s="4" t="str">
        <f>HYPERLINK("https://12go.asia/en/travel/chennai/kasaragod", "12Go Link")</f>
        <v>12Go Link</v>
      </c>
      <c r="E4563" s="3" t="s">
        <v>94</v>
      </c>
      <c r="K4563" s="5"/>
    </row>
    <row r="4564">
      <c r="A4564" s="3" t="s">
        <v>3715</v>
      </c>
      <c r="B4564" s="3" t="s">
        <v>3732</v>
      </c>
      <c r="C4564" s="3" t="s">
        <v>4355</v>
      </c>
      <c r="D4564" s="4" t="str">
        <f>HYPERLINK("https://12go.asia/en/travel/chennai/kothapatnam", "12Go Link")</f>
        <v>12Go Link</v>
      </c>
      <c r="E4564" s="3" t="s">
        <v>94</v>
      </c>
      <c r="K4564" s="5"/>
    </row>
    <row r="4565">
      <c r="A4565" s="3" t="s">
        <v>3715</v>
      </c>
      <c r="B4565" s="3" t="s">
        <v>3739</v>
      </c>
      <c r="C4565" s="3" t="s">
        <v>4356</v>
      </c>
      <c r="D4565" s="4" t="str">
        <f>HYPERLINK("https://12go.asia/en/travel/chennai/mughalsarai", "12Go Link")</f>
        <v>12Go Link</v>
      </c>
      <c r="E4565" s="3" t="s">
        <v>94</v>
      </c>
      <c r="K4565" s="5"/>
    </row>
    <row r="4566">
      <c r="A4566" s="3" t="s">
        <v>3715</v>
      </c>
      <c r="B4566" s="3" t="s">
        <v>4187</v>
      </c>
      <c r="C4566" s="3" t="s">
        <v>4357</v>
      </c>
      <c r="D4566" s="4" t="str">
        <f>HYPERLINK("https://12go.asia/en/travel/perambur/nagpur", "12Go Link")</f>
        <v>12Go Link</v>
      </c>
      <c r="E4566" s="3" t="s">
        <v>94</v>
      </c>
      <c r="K4566" s="5"/>
    </row>
    <row r="4567">
      <c r="A4567" s="3" t="s">
        <v>3715</v>
      </c>
      <c r="B4567" s="3" t="s">
        <v>3746</v>
      </c>
      <c r="C4567" s="3" t="s">
        <v>4358</v>
      </c>
      <c r="D4567" s="4" t="str">
        <f>HYPERLINK("https://12go.asia/en/travel/chennai-central/ongole", "12Go Link")</f>
        <v>12Go Link</v>
      </c>
      <c r="E4567" s="3" t="s">
        <v>94</v>
      </c>
      <c r="K4567" s="5"/>
    </row>
    <row r="4568">
      <c r="A4568" s="3" t="s">
        <v>3715</v>
      </c>
      <c r="B4568" s="3" t="s">
        <v>3746</v>
      </c>
      <c r="C4568" s="3" t="s">
        <v>4359</v>
      </c>
      <c r="D4568" s="4" t="str">
        <f>HYPERLINK("https://12go.asia/en/travel/perambur/ongole", "12Go Link")</f>
        <v>12Go Link</v>
      </c>
      <c r="E4568" s="3" t="s">
        <v>94</v>
      </c>
      <c r="K4568" s="5"/>
    </row>
    <row r="4569">
      <c r="A4569" s="3" t="s">
        <v>3715</v>
      </c>
      <c r="B4569" s="3" t="s">
        <v>4360</v>
      </c>
      <c r="C4569" s="3" t="s">
        <v>4361</v>
      </c>
      <c r="D4569" s="4" t="str">
        <f>HYPERLINK("https://12go.asia/en/travel/chennai-egmore/sankarankovil", "12Go Link")</f>
        <v>12Go Link</v>
      </c>
      <c r="E4569" s="3" t="s">
        <v>94</v>
      </c>
      <c r="K4569" s="5"/>
    </row>
    <row r="4570">
      <c r="A4570" s="3" t="s">
        <v>3715</v>
      </c>
      <c r="B4570" s="3" t="s">
        <v>4360</v>
      </c>
      <c r="C4570" s="3" t="s">
        <v>4362</v>
      </c>
      <c r="D4570" s="4" t="str">
        <f>HYPERLINK("https://12go.asia/en/travel/chennai/sankarankoil", "12Go Link")</f>
        <v>12Go Link</v>
      </c>
      <c r="E4570" s="3" t="s">
        <v>94</v>
      </c>
      <c r="K4570" s="5"/>
    </row>
    <row r="4571">
      <c r="A4571" s="3" t="s">
        <v>3715</v>
      </c>
      <c r="B4571" s="3" t="s">
        <v>4133</v>
      </c>
      <c r="C4571" s="3" t="s">
        <v>4363</v>
      </c>
      <c r="D4571" s="4" t="str">
        <f>HYPERLINK("https://12go.asia/en/travel/chennai/sevagram", "12Go Link")</f>
        <v>12Go Link</v>
      </c>
      <c r="E4571" s="3" t="s">
        <v>94</v>
      </c>
      <c r="K4571" s="5"/>
    </row>
    <row r="4572">
      <c r="A4572" s="3" t="s">
        <v>3715</v>
      </c>
      <c r="B4572" s="3" t="s">
        <v>4364</v>
      </c>
      <c r="C4572" s="3" t="s">
        <v>4365</v>
      </c>
      <c r="D4572" s="4" t="str">
        <f>HYPERLINK("https://12go.asia/en/travel/chennai-central/sullurupeta", "12Go Link")</f>
        <v>12Go Link</v>
      </c>
      <c r="E4572" s="3" t="s">
        <v>94</v>
      </c>
      <c r="K4572" s="5"/>
    </row>
    <row r="4573">
      <c r="A4573" s="3" t="s">
        <v>3715</v>
      </c>
      <c r="B4573" s="3" t="s">
        <v>4364</v>
      </c>
      <c r="C4573" s="3" t="s">
        <v>4366</v>
      </c>
      <c r="D4573" s="4" t="str">
        <f>HYPERLINK("https://12go.asia/en/travel/chennai/sullurupeta", "12Go Link")</f>
        <v>12Go Link</v>
      </c>
      <c r="E4573" s="3" t="s">
        <v>94</v>
      </c>
      <c r="K4573" s="5"/>
    </row>
    <row r="4574">
      <c r="A4574" s="3" t="s">
        <v>3715</v>
      </c>
      <c r="B4574" s="3" t="s">
        <v>4367</v>
      </c>
      <c r="C4574" s="3" t="s">
        <v>4368</v>
      </c>
      <c r="D4574" s="4" t="str">
        <f>HYPERLINK("https://12go.asia/en/travel/chennai-central/avadi", "12Go Link")</f>
        <v>12Go Link</v>
      </c>
      <c r="E4574" s="3" t="s">
        <v>94</v>
      </c>
      <c r="K4574" s="5"/>
    </row>
    <row r="4575">
      <c r="A4575" s="3" t="s">
        <v>3715</v>
      </c>
      <c r="B4575" s="3" t="s">
        <v>4369</v>
      </c>
      <c r="C4575" s="3" t="s">
        <v>4370</v>
      </c>
      <c r="D4575" s="4" t="str">
        <f>HYPERLINK("https://12go.asia/en/travel/chennai-egmore/thiruvarur-junction", "12Go Link")</f>
        <v>12Go Link</v>
      </c>
      <c r="E4575" s="3" t="s">
        <v>94</v>
      </c>
      <c r="K4575" s="5"/>
    </row>
    <row r="4576">
      <c r="A4576" s="3" t="s">
        <v>3715</v>
      </c>
      <c r="B4576" s="3" t="s">
        <v>4371</v>
      </c>
      <c r="C4576" s="3" t="s">
        <v>4372</v>
      </c>
      <c r="D4576" s="4" t="str">
        <f>HYPERLINK("https://12go.asia/en/travel/chennai-egmore/valliyur", "12Go Link")</f>
        <v>12Go Link</v>
      </c>
      <c r="E4576" s="3" t="s">
        <v>94</v>
      </c>
      <c r="K4576" s="5"/>
    </row>
    <row r="4577">
      <c r="A4577" s="3" t="s">
        <v>3715</v>
      </c>
      <c r="B4577" s="3" t="s">
        <v>4270</v>
      </c>
      <c r="C4577" s="3" t="s">
        <v>4373</v>
      </c>
      <c r="D4577" s="4" t="str">
        <f>HYPERLINK("https://12go.asia/en/travel/chennai-egmore/velankanni", "12Go Link")</f>
        <v>12Go Link</v>
      </c>
      <c r="E4577" s="3" t="s">
        <v>94</v>
      </c>
      <c r="K4577" s="5"/>
    </row>
    <row r="4578">
      <c r="A4578" s="3" t="s">
        <v>3715</v>
      </c>
      <c r="B4578" s="3" t="s">
        <v>4374</v>
      </c>
      <c r="C4578" s="3" t="s">
        <v>4375</v>
      </c>
      <c r="D4578" s="4" t="str">
        <f>HYPERLINK("https://12go.asia/en/travel/perambur/vriddhachalam-junction", "12Go Link")</f>
        <v>12Go Link</v>
      </c>
      <c r="E4578" s="3" t="s">
        <v>94</v>
      </c>
      <c r="K4578" s="5"/>
    </row>
    <row r="4579">
      <c r="A4579" s="3" t="s">
        <v>3715</v>
      </c>
      <c r="B4579" s="3" t="s">
        <v>4376</v>
      </c>
      <c r="C4579" s="3" t="s">
        <v>4377</v>
      </c>
      <c r="D4579" s="4" t="str">
        <f>HYPERLINK("https://12go.asia/en/travel/chennai-central/walajah-road-junction", "12Go Link")</f>
        <v>12Go Link</v>
      </c>
      <c r="E4579" s="3" t="s">
        <v>94</v>
      </c>
      <c r="K4579" s="5"/>
    </row>
    <row r="4580">
      <c r="A4580" s="3" t="s">
        <v>3715</v>
      </c>
      <c r="B4580" s="3" t="s">
        <v>4376</v>
      </c>
      <c r="C4580" s="3" t="s">
        <v>4378</v>
      </c>
      <c r="D4580" s="4" t="str">
        <f>HYPERLINK("https://12go.asia/en/travel/chennai/walajah-road", "12Go Link")</f>
        <v>12Go Link</v>
      </c>
      <c r="E4580" s="3" t="s">
        <v>94</v>
      </c>
      <c r="K4580" s="5"/>
    </row>
    <row r="4581">
      <c r="A4581" s="3" t="s">
        <v>3715</v>
      </c>
      <c r="B4581" s="3" t="s">
        <v>4135</v>
      </c>
      <c r="C4581" s="3" t="s">
        <v>4379</v>
      </c>
      <c r="D4581" s="4" t="str">
        <f>HYPERLINK("https://12go.asia/en/travel/chennai-central/wardha-junction", "12Go Link")</f>
        <v>12Go Link</v>
      </c>
      <c r="E4581" s="3" t="s">
        <v>94</v>
      </c>
      <c r="K4581" s="5"/>
    </row>
    <row r="4582">
      <c r="A4582" s="3" t="s">
        <v>3715</v>
      </c>
      <c r="B4582" s="3" t="s">
        <v>4135</v>
      </c>
      <c r="C4582" s="3" t="s">
        <v>4380</v>
      </c>
      <c r="D4582" s="4" t="str">
        <f>HYPERLINK("https://12go.asia/en/travel/chennai/wardha", "12Go Link")</f>
        <v>12Go Link</v>
      </c>
      <c r="E4582" s="3" t="s">
        <v>94</v>
      </c>
      <c r="K4582" s="5"/>
    </row>
    <row r="4583">
      <c r="A4583" s="3" t="s">
        <v>3715</v>
      </c>
      <c r="B4583" s="3" t="s">
        <v>4381</v>
      </c>
      <c r="C4583" s="3" t="s">
        <v>4382</v>
      </c>
      <c r="D4583" s="4" t="str">
        <f>HYPERLINK("https://12go.asia/en/travel/chennai/yelhanka", "12Go Link")</f>
        <v>12Go Link</v>
      </c>
      <c r="E4583" s="3" t="s">
        <v>94</v>
      </c>
      <c r="K4583" s="5"/>
    </row>
    <row r="4584">
      <c r="A4584" s="3" t="s">
        <v>4383</v>
      </c>
      <c r="B4584" s="3" t="s">
        <v>4384</v>
      </c>
      <c r="C4584" s="3" t="s">
        <v>4385</v>
      </c>
      <c r="D4584" s="4" t="str">
        <f>HYPERLINK("https://12go.asia/en/travel/chhapra/gorakhpur", "12Go Link")</f>
        <v>12Go Link</v>
      </c>
      <c r="E4584" s="3" t="s">
        <v>94</v>
      </c>
      <c r="K4584" s="5"/>
    </row>
    <row r="4585">
      <c r="A4585" s="3" t="s">
        <v>4383</v>
      </c>
      <c r="B4585" s="3" t="s">
        <v>4180</v>
      </c>
      <c r="C4585" s="3" t="s">
        <v>4386</v>
      </c>
      <c r="D4585" s="4" t="str">
        <f>HYPERLINK("https://12go.asia/en/travel/chhapra/kishanganj", "12Go Link")</f>
        <v>12Go Link</v>
      </c>
      <c r="E4585" s="3" t="s">
        <v>94</v>
      </c>
      <c r="K4585" s="5"/>
    </row>
    <row r="4586">
      <c r="A4586" s="3" t="s">
        <v>4383</v>
      </c>
      <c r="B4586" s="3" t="s">
        <v>3994</v>
      </c>
      <c r="C4586" s="3" t="s">
        <v>4387</v>
      </c>
      <c r="D4586" s="4" t="str">
        <f>HYPERLINK("https://12go.asia/en/travel/chhapra/aishbagh", "12Go Link")</f>
        <v>12Go Link</v>
      </c>
      <c r="E4586" s="3" t="s">
        <v>94</v>
      </c>
      <c r="K4586" s="5"/>
    </row>
    <row r="4587">
      <c r="A4587" s="3" t="s">
        <v>4383</v>
      </c>
      <c r="B4587" s="3" t="s">
        <v>3994</v>
      </c>
      <c r="C4587" s="3" t="s">
        <v>4388</v>
      </c>
      <c r="D4587" s="4" t="str">
        <f>HYPERLINK("https://12go.asia/en/travel/chhapra/gomti-nagar-lucknow", "12Go Link")</f>
        <v>12Go Link</v>
      </c>
      <c r="E4587" s="3" t="s">
        <v>94</v>
      </c>
      <c r="K4587" s="5"/>
    </row>
    <row r="4588">
      <c r="A4588" s="3" t="s">
        <v>4383</v>
      </c>
      <c r="B4588" s="3" t="s">
        <v>3994</v>
      </c>
      <c r="C4588" s="3" t="s">
        <v>4389</v>
      </c>
      <c r="D4588" s="4" t="str">
        <f>HYPERLINK("https://12go.asia/en/travel/chhapra/lucknow", "12Go Link")</f>
        <v>12Go Link</v>
      </c>
      <c r="E4588" s="3" t="s">
        <v>94</v>
      </c>
      <c r="K4588" s="5"/>
    </row>
    <row r="4589">
      <c r="A4589" s="3" t="s">
        <v>4383</v>
      </c>
      <c r="B4589" s="3" t="s">
        <v>3994</v>
      </c>
      <c r="C4589" s="3" t="s">
        <v>4390</v>
      </c>
      <c r="D4589" s="4" t="str">
        <f>HYPERLINK("https://12go.asia/en/travel/chhapra/lucknow-ne", "12Go Link")</f>
        <v>12Go Link</v>
      </c>
      <c r="E4589" s="3" t="s">
        <v>94</v>
      </c>
      <c r="K4589" s="5"/>
    </row>
    <row r="4590">
      <c r="A4590" s="3" t="s">
        <v>4383</v>
      </c>
      <c r="B4590" s="3" t="s">
        <v>3994</v>
      </c>
      <c r="C4590" s="3" t="s">
        <v>4391</v>
      </c>
      <c r="D4590" s="4" t="str">
        <f>HYPERLINK("https://12go.asia/en/travel/chhapra/lucknow-nr", "12Go Link")</f>
        <v>12Go Link</v>
      </c>
      <c r="E4590" s="3" t="s">
        <v>94</v>
      </c>
      <c r="K4590" s="5"/>
    </row>
    <row r="4591">
      <c r="A4591" s="3" t="s">
        <v>4383</v>
      </c>
      <c r="B4591" s="3" t="s">
        <v>3666</v>
      </c>
      <c r="C4591" s="3" t="s">
        <v>4392</v>
      </c>
      <c r="D4591" s="4" t="str">
        <f>HYPERLINK("https://12go.asia/en/travel/chhapra/varanasi", "12Go Link")</f>
        <v>12Go Link</v>
      </c>
      <c r="E4591" s="3" t="s">
        <v>94</v>
      </c>
      <c r="K4591" s="5"/>
    </row>
    <row r="4592">
      <c r="A4592" s="3" t="s">
        <v>4383</v>
      </c>
      <c r="B4592" s="3" t="s">
        <v>3666</v>
      </c>
      <c r="C4592" s="3" t="s">
        <v>4393</v>
      </c>
      <c r="D4592" s="4" t="str">
        <f>HYPERLINK("https://12go.asia/en/travel/chhapra/varanasi-jn", "12Go Link")</f>
        <v>12Go Link</v>
      </c>
      <c r="E4592" s="3" t="s">
        <v>94</v>
      </c>
      <c r="K4592" s="5"/>
    </row>
    <row r="4593">
      <c r="A4593" s="3" t="s">
        <v>4394</v>
      </c>
      <c r="B4593" s="3" t="s">
        <v>4037</v>
      </c>
      <c r="C4593" s="3" t="s">
        <v>4395</v>
      </c>
      <c r="D4593" s="4" t="str">
        <f>HYPERLINK("https://12go.asia/en/travel/maharaja-chhatrasal/rani-kamalapati", "12Go Link")</f>
        <v>12Go Link</v>
      </c>
      <c r="E4593" s="3" t="s">
        <v>94</v>
      </c>
      <c r="K4593" s="5"/>
    </row>
    <row r="4594">
      <c r="A4594" s="3" t="s">
        <v>4394</v>
      </c>
      <c r="B4594" s="3" t="s">
        <v>4396</v>
      </c>
      <c r="C4594" s="3" t="s">
        <v>4397</v>
      </c>
      <c r="D4594" s="4" t="str">
        <f>HYPERLINK("https://12go.asia/en/travel/maharaja-chhatrasal/gwalior-jn", "12Go Link")</f>
        <v>12Go Link</v>
      </c>
      <c r="E4594" s="3" t="s">
        <v>94</v>
      </c>
      <c r="K4594" s="5"/>
    </row>
    <row r="4595">
      <c r="A4595" s="3" t="s">
        <v>4394</v>
      </c>
      <c r="B4595" s="3" t="s">
        <v>4396</v>
      </c>
      <c r="C4595" s="3" t="s">
        <v>4398</v>
      </c>
      <c r="D4595" s="4" t="str">
        <f>HYPERLINK("https://12go.asia/en/travel/chhatarpur/gwalior", "12Go Link")</f>
        <v>12Go Link</v>
      </c>
      <c r="E4595" s="3" t="s">
        <v>94</v>
      </c>
      <c r="K4595" s="5"/>
    </row>
    <row r="4596">
      <c r="A4596" s="3" t="s">
        <v>4394</v>
      </c>
      <c r="B4596" s="3" t="s">
        <v>3726</v>
      </c>
      <c r="C4596" s="3" t="s">
        <v>4399</v>
      </c>
      <c r="D4596" s="4" t="str">
        <f>HYPERLINK("https://12go.asia/en/travel/chhatarpur/habibganj", "12Go Link")</f>
        <v>12Go Link</v>
      </c>
      <c r="E4596" s="3" t="s">
        <v>94</v>
      </c>
      <c r="K4596" s="5"/>
    </row>
    <row r="4597">
      <c r="A4597" s="3" t="s">
        <v>4394</v>
      </c>
      <c r="B4597" s="3" t="s">
        <v>4040</v>
      </c>
      <c r="C4597" s="3" t="s">
        <v>4400</v>
      </c>
      <c r="D4597" s="4" t="str">
        <f>HYPERLINK("https://12go.asia/en/travel/chhatarpur/madhya-pradesh", "12Go Link")</f>
        <v>12Go Link</v>
      </c>
      <c r="E4597" s="3" t="s">
        <v>94</v>
      </c>
      <c r="K4597" s="5"/>
    </row>
    <row r="4598">
      <c r="A4598" s="3" t="s">
        <v>4116</v>
      </c>
      <c r="B4598" s="3" t="s">
        <v>4156</v>
      </c>
      <c r="C4598" s="3" t="s">
        <v>4401</v>
      </c>
      <c r="D4598" s="4" t="str">
        <f>HYPERLINK("https://12go.asia/en/travel/chhattisgarh/deoghar", "12Go Link")</f>
        <v>12Go Link</v>
      </c>
      <c r="E4598" s="3" t="s">
        <v>94</v>
      </c>
      <c r="K4598" s="5"/>
    </row>
    <row r="4599">
      <c r="A4599" s="3" t="s">
        <v>4116</v>
      </c>
      <c r="B4599" s="3" t="s">
        <v>4402</v>
      </c>
      <c r="C4599" s="3" t="s">
        <v>4403</v>
      </c>
      <c r="D4599" s="4" t="str">
        <f>HYPERLINK("https://12go.asia/en/travel/chhattisgarh/jamshedpur", "12Go Link")</f>
        <v>12Go Link</v>
      </c>
      <c r="E4599" s="3" t="s">
        <v>94</v>
      </c>
      <c r="K4599" s="5"/>
    </row>
    <row r="4600">
      <c r="A4600" s="3" t="s">
        <v>4116</v>
      </c>
      <c r="B4600" s="3" t="s">
        <v>3704</v>
      </c>
      <c r="C4600" s="3" t="s">
        <v>4404</v>
      </c>
      <c r="D4600" s="4" t="str">
        <f>HYPERLINK("https://12go.asia/en/travel/raipur-jn/santragachi-junction", "12Go Link")</f>
        <v>12Go Link</v>
      </c>
      <c r="E4600" s="3" t="s">
        <v>94</v>
      </c>
      <c r="K4600" s="5"/>
    </row>
    <row r="4601">
      <c r="A4601" s="3" t="s">
        <v>4116</v>
      </c>
      <c r="B4601" s="3" t="s">
        <v>3834</v>
      </c>
      <c r="C4601" s="3" t="s">
        <v>4405</v>
      </c>
      <c r="D4601" s="4" t="str">
        <f>HYPERLINK("https://12go.asia/en/travel/chhattisgarh/manmad", "12Go Link")</f>
        <v>12Go Link</v>
      </c>
      <c r="E4601" s="3" t="s">
        <v>94</v>
      </c>
      <c r="K4601" s="5"/>
    </row>
    <row r="4602">
      <c r="A4602" s="3" t="s">
        <v>4116</v>
      </c>
      <c r="B4602" s="3" t="s">
        <v>3834</v>
      </c>
      <c r="C4602" s="3" t="s">
        <v>4406</v>
      </c>
      <c r="D4602" s="4" t="str">
        <f>HYPERLINK("https://12go.asia/en/travel/raipur-jn/manmad-junction", "12Go Link")</f>
        <v>12Go Link</v>
      </c>
      <c r="E4602" s="3" t="s">
        <v>94</v>
      </c>
      <c r="K4602" s="5"/>
    </row>
    <row r="4603">
      <c r="A4603" s="3" t="s">
        <v>4116</v>
      </c>
      <c r="B4603" s="3" t="s">
        <v>4407</v>
      </c>
      <c r="C4603" s="3" t="s">
        <v>4408</v>
      </c>
      <c r="D4603" s="4" t="str">
        <f>HYPERLINK("https://12go.asia/en/travel/chhattisgarh/nashik", "12Go Link")</f>
        <v>12Go Link</v>
      </c>
      <c r="E4603" s="3" t="s">
        <v>94</v>
      </c>
      <c r="K4603" s="5"/>
    </row>
    <row r="4604">
      <c r="A4604" s="3" t="s">
        <v>4116</v>
      </c>
      <c r="B4604" s="3" t="s">
        <v>4407</v>
      </c>
      <c r="C4604" s="3" t="s">
        <v>4409</v>
      </c>
      <c r="D4604" s="4" t="str">
        <f>HYPERLINK("https://12go.asia/en/travel/raipur-jn/nasik-road", "12Go Link")</f>
        <v>12Go Link</v>
      </c>
      <c r="E4604" s="3" t="s">
        <v>94</v>
      </c>
      <c r="K4604" s="5"/>
    </row>
    <row r="4605">
      <c r="A4605" s="3" t="s">
        <v>4116</v>
      </c>
      <c r="B4605" s="3" t="s">
        <v>4410</v>
      </c>
      <c r="C4605" s="3" t="s">
        <v>4411</v>
      </c>
      <c r="D4605" s="4" t="str">
        <f>HYPERLINK("https://12go.asia/en/travel/chhattisgarh/pipariya", "12Go Link")</f>
        <v>12Go Link</v>
      </c>
      <c r="E4605" s="3" t="s">
        <v>94</v>
      </c>
      <c r="K4605" s="5"/>
    </row>
    <row r="4606">
      <c r="A4606" s="3" t="s">
        <v>4116</v>
      </c>
      <c r="B4606" s="3" t="s">
        <v>4410</v>
      </c>
      <c r="C4606" s="3" t="s">
        <v>4412</v>
      </c>
      <c r="D4606" s="4" t="str">
        <f>HYPERLINK("https://12go.asia/en/travel/raipur-jn/pipariya", "12Go Link")</f>
        <v>12Go Link</v>
      </c>
      <c r="E4606" s="3" t="s">
        <v>94</v>
      </c>
      <c r="K4606" s="5"/>
    </row>
    <row r="4607">
      <c r="A4607" s="3" t="s">
        <v>4116</v>
      </c>
      <c r="B4607" s="3" t="s">
        <v>4075</v>
      </c>
      <c r="C4607" s="3" t="s">
        <v>4413</v>
      </c>
      <c r="D4607" s="4" t="str">
        <f>HYPERLINK("https://12go.asia/en/travel/chhattisgarh/punjab", "12Go Link")</f>
        <v>12Go Link</v>
      </c>
      <c r="E4607" s="3" t="s">
        <v>94</v>
      </c>
      <c r="K4607" s="5"/>
    </row>
    <row r="4608">
      <c r="A4608" s="3" t="s">
        <v>4116</v>
      </c>
      <c r="B4608" s="3" t="s">
        <v>4196</v>
      </c>
      <c r="C4608" s="3" t="s">
        <v>4414</v>
      </c>
      <c r="D4608" s="4" t="str">
        <f>HYPERLINK("https://12go.asia/en/travel/chhattisgarh/samastipur", "12Go Link")</f>
        <v>12Go Link</v>
      </c>
      <c r="E4608" s="3" t="s">
        <v>94</v>
      </c>
      <c r="K4608" s="5"/>
    </row>
    <row r="4609">
      <c r="A4609" s="3" t="s">
        <v>4116</v>
      </c>
      <c r="B4609" s="3" t="s">
        <v>4196</v>
      </c>
      <c r="C4609" s="3" t="s">
        <v>4415</v>
      </c>
      <c r="D4609" s="4" t="str">
        <f>HYPERLINK("https://12go.asia/en/travel/raipur-jn/samastipur-junction", "12Go Link")</f>
        <v>12Go Link</v>
      </c>
      <c r="E4609" s="3" t="s">
        <v>94</v>
      </c>
      <c r="K4609" s="5"/>
    </row>
    <row r="4610">
      <c r="A4610" s="3" t="s">
        <v>4116</v>
      </c>
      <c r="B4610" s="3" t="s">
        <v>189</v>
      </c>
      <c r="C4610" s="3" t="s">
        <v>4416</v>
      </c>
      <c r="D4610" s="4" t="str">
        <f>HYPERLINK("https://12go.asia/en/travel/chhattisgarh/vrindavan", "12Go Link")</f>
        <v>12Go Link</v>
      </c>
      <c r="E4610" s="3" t="s">
        <v>94</v>
      </c>
      <c r="K4610" s="5"/>
    </row>
    <row r="4611">
      <c r="A4611" s="3" t="s">
        <v>4417</v>
      </c>
      <c r="B4611" s="3" t="s">
        <v>4418</v>
      </c>
      <c r="C4611" s="3" t="s">
        <v>4419</v>
      </c>
      <c r="D4611" s="4" t="str">
        <f>HYPERLINK("https://12go.asia/en/travel/chidambaram/tirupadripulyur", "12Go Link")</f>
        <v>12Go Link</v>
      </c>
      <c r="E4611" s="3" t="s">
        <v>94</v>
      </c>
      <c r="K4611" s="5"/>
    </row>
    <row r="4612">
      <c r="A4612" s="3" t="s">
        <v>4420</v>
      </c>
      <c r="B4612" s="3" t="s">
        <v>3682</v>
      </c>
      <c r="C4612" s="3" t="s">
        <v>4421</v>
      </c>
      <c r="D4612" s="4" t="str">
        <f>HYPERLINK("https://12go.asia/en/travel/chiplun/kalyan", "12Go Link")</f>
        <v>12Go Link</v>
      </c>
      <c r="E4612" s="3" t="s">
        <v>94</v>
      </c>
      <c r="K4612" s="5"/>
    </row>
    <row r="4613">
      <c r="A4613" s="3" t="s">
        <v>4420</v>
      </c>
      <c r="B4613" s="3" t="s">
        <v>3682</v>
      </c>
      <c r="C4613" s="3" t="s">
        <v>4422</v>
      </c>
      <c r="D4613" s="4" t="str">
        <f>HYPERLINK("https://12go.asia/en/travel/chiplun/kalyan-jn", "12Go Link")</f>
        <v>12Go Link</v>
      </c>
      <c r="E4613" s="3" t="s">
        <v>94</v>
      </c>
      <c r="K4613" s="5"/>
    </row>
    <row r="4614">
      <c r="A4614" s="3" t="s">
        <v>4420</v>
      </c>
      <c r="B4614" s="3" t="s">
        <v>3970</v>
      </c>
      <c r="C4614" s="3" t="s">
        <v>4423</v>
      </c>
      <c r="D4614" s="4" t="str">
        <f>HYPERLINK("https://12go.asia/en/travel/chiplun/navi-mumbai", "12Go Link")</f>
        <v>12Go Link</v>
      </c>
      <c r="E4614" s="3" t="s">
        <v>94</v>
      </c>
      <c r="K4614" s="5"/>
    </row>
    <row r="4615">
      <c r="A4615" s="3" t="s">
        <v>4424</v>
      </c>
      <c r="B4615" s="3" t="s">
        <v>3678</v>
      </c>
      <c r="C4615" s="3" t="s">
        <v>4425</v>
      </c>
      <c r="D4615" s="4" t="str">
        <f>HYPERLINK("https://12go.asia/en/travel/chirala/lingampalli", "12Go Link")</f>
        <v>12Go Link</v>
      </c>
      <c r="E4615" s="3" t="s">
        <v>94</v>
      </c>
      <c r="K4615" s="5"/>
    </row>
    <row r="4616">
      <c r="A4616" s="3" t="s">
        <v>4424</v>
      </c>
      <c r="B4616" s="3" t="s">
        <v>4143</v>
      </c>
      <c r="C4616" s="3" t="s">
        <v>4426</v>
      </c>
      <c r="D4616" s="4" t="str">
        <f>HYPERLINK("https://12go.asia/en/travel/chirala/telangana", "12Go Link")</f>
        <v>12Go Link</v>
      </c>
      <c r="E4616" s="3" t="s">
        <v>94</v>
      </c>
      <c r="K4616" s="5"/>
    </row>
    <row r="4617">
      <c r="A4617" s="3" t="s">
        <v>4424</v>
      </c>
      <c r="B4617" s="3" t="s">
        <v>3582</v>
      </c>
      <c r="C4617" s="3" t="s">
        <v>4427</v>
      </c>
      <c r="D4617" s="4" t="str">
        <f>HYPERLINK("https://12go.asia/en/travel/chirala/tirupati", "12Go Link")</f>
        <v>12Go Link</v>
      </c>
      <c r="E4617" s="3" t="s">
        <v>94</v>
      </c>
      <c r="K4617" s="5"/>
    </row>
    <row r="4618">
      <c r="A4618" s="3" t="s">
        <v>4428</v>
      </c>
      <c r="B4618" s="3" t="s">
        <v>4429</v>
      </c>
      <c r="C4618" s="3" t="s">
        <v>4430</v>
      </c>
      <c r="D4618" s="4" t="str">
        <f>HYPERLINK("https://12go.asia/en/travel/chitrakoot/khajuraho", "12Go Link")</f>
        <v>12Go Link</v>
      </c>
      <c r="E4618" s="3" t="s">
        <v>94</v>
      </c>
      <c r="K4618" s="5"/>
    </row>
    <row r="4619">
      <c r="A4619" s="3" t="s">
        <v>4428</v>
      </c>
      <c r="B4619" s="3" t="s">
        <v>4429</v>
      </c>
      <c r="C4619" s="3" t="s">
        <v>4431</v>
      </c>
      <c r="D4619" s="4" t="str">
        <f>HYPERLINK("https://12go.asia/en/travel/chitrakot/khajuraho", "12Go Link")</f>
        <v>12Go Link</v>
      </c>
      <c r="E4619" s="3" t="s">
        <v>94</v>
      </c>
      <c r="K4619" s="5"/>
    </row>
    <row r="4620">
      <c r="A4620" s="3" t="s">
        <v>4428</v>
      </c>
      <c r="B4620" s="3" t="s">
        <v>3666</v>
      </c>
      <c r="C4620" s="3" t="s">
        <v>4432</v>
      </c>
      <c r="D4620" s="4" t="str">
        <f>HYPERLINK("https://12go.asia/en/travel/chitrakot/varanasi-jn", "12Go Link")</f>
        <v>12Go Link</v>
      </c>
      <c r="E4620" s="3" t="s">
        <v>94</v>
      </c>
      <c r="K4620" s="5"/>
    </row>
    <row r="4621">
      <c r="A4621" s="3" t="s">
        <v>4433</v>
      </c>
      <c r="B4621" s="3" t="s">
        <v>149</v>
      </c>
      <c r="C4621" s="3" t="s">
        <v>4434</v>
      </c>
      <c r="D4621" s="4" t="str">
        <f>HYPERLINK("https://12go.asia/en/travel/churu/ahmedabad-jn", "12Go Link")</f>
        <v>12Go Link</v>
      </c>
      <c r="E4621" s="3" t="s">
        <v>94</v>
      </c>
      <c r="K4621" s="5"/>
    </row>
    <row r="4622">
      <c r="A4622" s="3" t="s">
        <v>4433</v>
      </c>
      <c r="B4622" s="3" t="s">
        <v>155</v>
      </c>
      <c r="C4622" s="3" t="s">
        <v>4435</v>
      </c>
      <c r="D4622" s="4" t="str">
        <f>HYPERLINK("https://12go.asia/en/travel/churu/gujarat", "12Go Link")</f>
        <v>12Go Link</v>
      </c>
      <c r="E4622" s="3" t="s">
        <v>94</v>
      </c>
      <c r="K4622" s="5"/>
    </row>
    <row r="4623">
      <c r="A4623" s="3" t="s">
        <v>4277</v>
      </c>
      <c r="B4623" s="3" t="s">
        <v>3869</v>
      </c>
      <c r="C4623" s="3" t="s">
        <v>4436</v>
      </c>
      <c r="D4623" s="4" t="str">
        <f>HYPERLINK("https://12go.asia/en/travel/coimbatore/chandrapur", "12Go Link")</f>
        <v>12Go Link</v>
      </c>
      <c r="E4623" s="3" t="s">
        <v>94</v>
      </c>
      <c r="K4623" s="5"/>
    </row>
    <row r="4624">
      <c r="A4624" s="3" t="s">
        <v>4277</v>
      </c>
      <c r="B4624" s="3" t="s">
        <v>4437</v>
      </c>
      <c r="C4624" s="3" t="s">
        <v>4438</v>
      </c>
      <c r="D4624" s="4" t="str">
        <f t="shared" ref="D4624:D4625" si="373">HYPERLINK("https://12go.asia/en/travel/coimbatore/kavali", "12Go Link")</f>
        <v>12Go Link</v>
      </c>
      <c r="E4624" s="3" t="s">
        <v>8</v>
      </c>
      <c r="K4624" s="5"/>
    </row>
    <row r="4625">
      <c r="A4625" s="3" t="s">
        <v>4277</v>
      </c>
      <c r="B4625" s="3" t="s">
        <v>4437</v>
      </c>
      <c r="C4625" s="3" t="s">
        <v>4438</v>
      </c>
      <c r="D4625" s="4" t="str">
        <f t="shared" si="373"/>
        <v>12Go Link</v>
      </c>
      <c r="E4625" s="3" t="s">
        <v>8</v>
      </c>
      <c r="K4625" s="5"/>
    </row>
    <row r="4626">
      <c r="A4626" s="3" t="s">
        <v>4277</v>
      </c>
      <c r="B4626" s="3" t="s">
        <v>165</v>
      </c>
      <c r="C4626" s="3" t="s">
        <v>4439</v>
      </c>
      <c r="D4626" s="4" t="str">
        <f>HYPERLINK("https://12go.asia/en/travel/coimbatore/margao", "12Go Link")</f>
        <v>12Go Link</v>
      </c>
      <c r="E4626" s="3" t="s">
        <v>94</v>
      </c>
      <c r="K4626" s="5"/>
    </row>
    <row r="4627">
      <c r="A4627" s="3" t="s">
        <v>4277</v>
      </c>
      <c r="B4627" s="3" t="s">
        <v>3970</v>
      </c>
      <c r="C4627" s="3" t="s">
        <v>4440</v>
      </c>
      <c r="D4627" s="4" t="str">
        <f>HYPERLINK("https://12go.asia/en/travel/coimbatore/navi-mumbai", "12Go Link")</f>
        <v>12Go Link</v>
      </c>
      <c r="E4627" s="3" t="s">
        <v>94</v>
      </c>
      <c r="K4627" s="5"/>
    </row>
    <row r="4628">
      <c r="A4628" s="3" t="s">
        <v>4277</v>
      </c>
      <c r="B4628" s="3" t="s">
        <v>4441</v>
      </c>
      <c r="C4628" s="3" t="s">
        <v>4442</v>
      </c>
      <c r="D4628" s="4" t="str">
        <f>HYPERLINK("https://12go.asia/en/travel/coimbatore/north-goa", "12Go Link")</f>
        <v>12Go Link</v>
      </c>
      <c r="E4628" s="3" t="s">
        <v>94</v>
      </c>
      <c r="K4628" s="5"/>
    </row>
    <row r="4629">
      <c r="A4629" s="3" t="s">
        <v>4277</v>
      </c>
      <c r="B4629" s="3" t="s">
        <v>4443</v>
      </c>
      <c r="C4629" s="3" t="s">
        <v>4444</v>
      </c>
      <c r="D4629" s="4" t="str">
        <f>HYPERLINK("https://12go.asia/en/travel/coimbatore/rajahmundry", "12Go Link")</f>
        <v>12Go Link</v>
      </c>
      <c r="E4629" s="3" t="s">
        <v>94</v>
      </c>
      <c r="K4629" s="5"/>
    </row>
    <row r="4630">
      <c r="A4630" s="3" t="s">
        <v>4277</v>
      </c>
      <c r="B4630" s="3" t="s">
        <v>3771</v>
      </c>
      <c r="C4630" s="3" t="s">
        <v>4445</v>
      </c>
      <c r="D4630" s="4" t="str">
        <f>HYPERLINK("https://12go.asia/en/travel/coimbatore/taj-mahal", "12Go Link")</f>
        <v>12Go Link</v>
      </c>
      <c r="E4630" s="3" t="s">
        <v>94</v>
      </c>
      <c r="K4630" s="5"/>
    </row>
    <row r="4631">
      <c r="A4631" s="3" t="s">
        <v>4277</v>
      </c>
      <c r="B4631" s="3" t="s">
        <v>4367</v>
      </c>
      <c r="C4631" s="3" t="s">
        <v>4446</v>
      </c>
      <c r="D4631" s="4" t="str">
        <f>HYPERLINK("https://12go.asia/en/travel/coimbatore/dharmapuri", "12Go Link")</f>
        <v>12Go Link</v>
      </c>
      <c r="E4631" s="3" t="s">
        <v>94</v>
      </c>
      <c r="K4631" s="5"/>
    </row>
    <row r="4632">
      <c r="A4632" s="3" t="s">
        <v>4447</v>
      </c>
      <c r="B4632" s="3" t="s">
        <v>4448</v>
      </c>
      <c r="C4632" s="3" t="s">
        <v>4449</v>
      </c>
      <c r="D4632" s="4" t="str">
        <f>HYPERLINK("https://12go.asia/en/travel/cooch-behar/haflong", "12Go Link")</f>
        <v>12Go Link</v>
      </c>
      <c r="E4632" s="3" t="s">
        <v>94</v>
      </c>
      <c r="K4632" s="5"/>
    </row>
    <row r="4633">
      <c r="A4633" s="3" t="s">
        <v>4447</v>
      </c>
      <c r="B4633" s="3" t="s">
        <v>4448</v>
      </c>
      <c r="C4633" s="3" t="s">
        <v>4450</v>
      </c>
      <c r="D4633" s="4" t="str">
        <f>HYPERLINK("https://12go.asia/en/travel/new-cooch-behar/new-haflong", "12Go Link")</f>
        <v>12Go Link</v>
      </c>
      <c r="E4633" s="3" t="s">
        <v>94</v>
      </c>
      <c r="K4633" s="5"/>
    </row>
    <row r="4634">
      <c r="A4634" s="3" t="s">
        <v>4418</v>
      </c>
      <c r="B4634" s="3" t="s">
        <v>3694</v>
      </c>
      <c r="C4634" s="3" t="s">
        <v>4451</v>
      </c>
      <c r="D4634" s="4" t="str">
        <f>HYPERLINK("https://12go.asia/en/travel/cuddalore-port-junction/tiruchchirappalli-junction", "12Go Link")</f>
        <v>12Go Link</v>
      </c>
      <c r="E4634" s="3" t="s">
        <v>94</v>
      </c>
      <c r="K4634" s="5"/>
    </row>
    <row r="4635">
      <c r="A4635" s="3" t="s">
        <v>4418</v>
      </c>
      <c r="B4635" s="3" t="s">
        <v>3694</v>
      </c>
      <c r="C4635" s="3" t="s">
        <v>4452</v>
      </c>
      <c r="D4635" s="4" t="str">
        <f>HYPERLINK("https://12go.asia/en/travel/cuddalore/tiruchirappalli", "12Go Link")</f>
        <v>12Go Link</v>
      </c>
      <c r="E4635" s="3" t="s">
        <v>94</v>
      </c>
      <c r="K4635" s="5"/>
    </row>
    <row r="4636">
      <c r="A4636" s="3" t="s">
        <v>4453</v>
      </c>
      <c r="B4636" s="3" t="s">
        <v>4454</v>
      </c>
      <c r="C4636" s="3" t="s">
        <v>4455</v>
      </c>
      <c r="D4636" s="4" t="str">
        <f>HYPERLINK("https://12go.asia/en/travel/daltonganj/dehri-on-sone", "12Go Link")</f>
        <v>12Go Link</v>
      </c>
      <c r="E4636" s="3" t="s">
        <v>94</v>
      </c>
      <c r="K4636" s="5"/>
    </row>
    <row r="4637">
      <c r="A4637" s="3" t="s">
        <v>4209</v>
      </c>
      <c r="B4637" s="3" t="s">
        <v>3793</v>
      </c>
      <c r="C4637" s="3" t="s">
        <v>4456</v>
      </c>
      <c r="D4637" s="4" t="str">
        <f>HYPERLINK("https://12go.asia/en/travel/danapur/ara", "12Go Link")</f>
        <v>12Go Link</v>
      </c>
      <c r="E4637" s="3" t="s">
        <v>94</v>
      </c>
      <c r="K4637" s="5"/>
    </row>
    <row r="4638">
      <c r="A4638" s="3" t="s">
        <v>4209</v>
      </c>
      <c r="B4638" s="3" t="s">
        <v>3715</v>
      </c>
      <c r="C4638" s="3" t="s">
        <v>4457</v>
      </c>
      <c r="D4638" s="4" t="str">
        <f>HYPERLINK("https://12go.asia/en/travel/danapur/perambur", "12Go Link")</f>
        <v>12Go Link</v>
      </c>
      <c r="E4638" s="3" t="s">
        <v>94</v>
      </c>
      <c r="K4638" s="5"/>
    </row>
    <row r="4639">
      <c r="A4639" s="3" t="s">
        <v>4209</v>
      </c>
      <c r="B4639" s="3" t="s">
        <v>4180</v>
      </c>
      <c r="C4639" s="3" t="s">
        <v>4458</v>
      </c>
      <c r="D4639" s="4" t="str">
        <f>HYPERLINK("https://12go.asia/en/travel/danapur/kishanganj", "12Go Link")</f>
        <v>12Go Link</v>
      </c>
      <c r="E4639" s="3" t="s">
        <v>94</v>
      </c>
      <c r="K4639" s="5"/>
    </row>
    <row r="4640">
      <c r="A4640" s="3" t="s">
        <v>4209</v>
      </c>
      <c r="B4640" s="3" t="s">
        <v>186</v>
      </c>
      <c r="C4640" s="3" t="s">
        <v>4459</v>
      </c>
      <c r="D4640" s="4" t="str">
        <f>HYPERLINK("https://12go.asia/en/travel/danapur/vadodara", "12Go Link")</f>
        <v>12Go Link</v>
      </c>
      <c r="E4640" s="3" t="s">
        <v>94</v>
      </c>
      <c r="K4640" s="5"/>
    </row>
    <row r="4641">
      <c r="A4641" s="3" t="s">
        <v>4460</v>
      </c>
      <c r="B4641" s="3" t="s">
        <v>4461</v>
      </c>
      <c r="C4641" s="3" t="s">
        <v>4462</v>
      </c>
      <c r="D4641" s="4" t="str">
        <f>HYPERLINK("https://12go.asia/en/travel/darbhanga/sitamarhi", "12Go Link")</f>
        <v>12Go Link</v>
      </c>
      <c r="E4641" s="3" t="s">
        <v>94</v>
      </c>
      <c r="K4641" s="5"/>
    </row>
    <row r="4642">
      <c r="A4642" s="3" t="s">
        <v>4460</v>
      </c>
      <c r="B4642" s="3" t="s">
        <v>4461</v>
      </c>
      <c r="C4642" s="3" t="s">
        <v>4463</v>
      </c>
      <c r="D4642" s="4" t="str">
        <f>HYPERLINK("https://12go.asia/en/travel/darbhanga/sitamarhi-jn", "12Go Link")</f>
        <v>12Go Link</v>
      </c>
      <c r="E4642" s="3" t="s">
        <v>94</v>
      </c>
      <c r="K4642" s="5"/>
    </row>
    <row r="4643">
      <c r="A4643" s="3" t="s">
        <v>4464</v>
      </c>
      <c r="B4643" s="3" t="s">
        <v>3647</v>
      </c>
      <c r="C4643" s="3" t="s">
        <v>4465</v>
      </c>
      <c r="D4643" s="4" t="str">
        <f>HYPERLINK("https://12go.asia/en/travel/dausa/delhi-cantt", "12Go Link")</f>
        <v>12Go Link</v>
      </c>
      <c r="E4643" s="3" t="s">
        <v>94</v>
      </c>
      <c r="K4643" s="5"/>
    </row>
    <row r="4644">
      <c r="A4644" s="3" t="s">
        <v>3874</v>
      </c>
      <c r="B4644" s="3" t="s">
        <v>4466</v>
      </c>
      <c r="C4644" s="3" t="s">
        <v>4467</v>
      </c>
      <c r="D4644" s="4" t="str">
        <f>HYPERLINK("https://12go.asia/en/travel/davanagere/hubballi-dharwad", "12Go Link")</f>
        <v>12Go Link</v>
      </c>
      <c r="E4644" s="3" t="s">
        <v>94</v>
      </c>
      <c r="K4644" s="5"/>
    </row>
    <row r="4645">
      <c r="A4645" s="3" t="s">
        <v>3874</v>
      </c>
      <c r="B4645" s="3" t="s">
        <v>4468</v>
      </c>
      <c r="C4645" s="3" t="s">
        <v>4469</v>
      </c>
      <c r="D4645" s="4" t="str">
        <f>HYPERLINK("https://12go.asia/en/travel/davanagere/hubli", "12Go Link")</f>
        <v>12Go Link</v>
      </c>
      <c r="E4645" s="3" t="s">
        <v>94</v>
      </c>
      <c r="K4645" s="5"/>
    </row>
    <row r="4646">
      <c r="A4646" s="3" t="s">
        <v>3874</v>
      </c>
      <c r="B4646" s="3" t="s">
        <v>4468</v>
      </c>
      <c r="C4646" s="3" t="s">
        <v>4470</v>
      </c>
      <c r="D4646" s="4" t="str">
        <f>HYPERLINK("https://12go.asia/en/travel/davangere/hubballi-jn", "12Go Link")</f>
        <v>12Go Link</v>
      </c>
      <c r="E4646" s="3" t="s">
        <v>94</v>
      </c>
      <c r="K4646" s="5"/>
    </row>
    <row r="4647">
      <c r="A4647" s="3" t="s">
        <v>3874</v>
      </c>
      <c r="B4647" s="3" t="s">
        <v>3834</v>
      </c>
      <c r="C4647" s="3" t="s">
        <v>4471</v>
      </c>
      <c r="D4647" s="4" t="str">
        <f>HYPERLINK("https://12go.asia/en/travel/davanagere/manmad", "12Go Link")</f>
        <v>12Go Link</v>
      </c>
      <c r="E4647" s="3" t="s">
        <v>94</v>
      </c>
      <c r="K4647" s="5"/>
    </row>
    <row r="4648">
      <c r="A4648" s="3" t="s">
        <v>3874</v>
      </c>
      <c r="B4648" s="3" t="s">
        <v>3834</v>
      </c>
      <c r="C4648" s="3" t="s">
        <v>4472</v>
      </c>
      <c r="D4648" s="4" t="str">
        <f>HYPERLINK("https://12go.asia/en/travel/davangere/manmad-junction", "12Go Link")</f>
        <v>12Go Link</v>
      </c>
      <c r="E4648" s="3" t="s">
        <v>94</v>
      </c>
      <c r="K4648" s="5"/>
    </row>
    <row r="4649">
      <c r="A4649" s="3" t="s">
        <v>4473</v>
      </c>
      <c r="B4649" s="3" t="s">
        <v>3994</v>
      </c>
      <c r="C4649" s="3" t="s">
        <v>4474</v>
      </c>
      <c r="D4649" s="4" t="str">
        <f>HYPERLINK("https://12go.asia/en/travel/dehradun/lucknow-ne", "12Go Link")</f>
        <v>12Go Link</v>
      </c>
      <c r="E4649" s="3" t="s">
        <v>94</v>
      </c>
      <c r="K4649" s="5"/>
    </row>
    <row r="4650">
      <c r="A4650" s="3" t="s">
        <v>4473</v>
      </c>
      <c r="B4650" s="3" t="s">
        <v>4475</v>
      </c>
      <c r="C4650" s="3" t="s">
        <v>4476</v>
      </c>
      <c r="D4650" s="4" t="str">
        <f>HYPERLINK("https://12go.asia/en/travel/dehradun/rudrapur-city", "12Go Link")</f>
        <v>12Go Link</v>
      </c>
      <c r="E4650" s="3" t="s">
        <v>94</v>
      </c>
      <c r="K4650" s="5"/>
    </row>
    <row r="4651">
      <c r="A4651" s="3" t="s">
        <v>3647</v>
      </c>
      <c r="B4651" s="3" t="s">
        <v>3610</v>
      </c>
      <c r="C4651" s="3" t="s">
        <v>4477</v>
      </c>
      <c r="D4651" s="4" t="str">
        <f>HYPERLINK("https://12go.asia/en/travel/delhi/ahmadnagar", "12Go Link")</f>
        <v>12Go Link</v>
      </c>
      <c r="E4651" s="3" t="s">
        <v>94</v>
      </c>
      <c r="K4651" s="5"/>
    </row>
    <row r="4652">
      <c r="A4652" s="3" t="s">
        <v>3647</v>
      </c>
      <c r="B4652" s="3" t="s">
        <v>3610</v>
      </c>
      <c r="C4652" s="3" t="s">
        <v>4478</v>
      </c>
      <c r="D4652" s="4" t="str">
        <f>HYPERLINK("https://12go.asia/en/travel/hazrat-nizamuddin/ahmadnagar", "12Go Link")</f>
        <v>12Go Link</v>
      </c>
      <c r="E4652" s="3" t="s">
        <v>94</v>
      </c>
      <c r="K4652" s="5"/>
    </row>
    <row r="4653">
      <c r="A4653" s="3" t="s">
        <v>3647</v>
      </c>
      <c r="B4653" s="3" t="s">
        <v>3646</v>
      </c>
      <c r="C4653" s="3" t="s">
        <v>4479</v>
      </c>
      <c r="D4653" s="4" t="str">
        <f>HYPERLINK("https://12go.asia/en/travel/sabzi-mandi/aligarh-junction", "12Go Link")</f>
        <v>12Go Link</v>
      </c>
      <c r="E4653" s="3" t="s">
        <v>94</v>
      </c>
      <c r="K4653" s="5"/>
    </row>
    <row r="4654">
      <c r="A4654" s="3" t="s">
        <v>3647</v>
      </c>
      <c r="B4654" s="3" t="s">
        <v>4480</v>
      </c>
      <c r="C4654" s="3" t="s">
        <v>4481</v>
      </c>
      <c r="D4654" s="4" t="str">
        <f>HYPERLINK("https://12go.asia/en/travel/delhi/arunachal-pradesh", "12Go Link")</f>
        <v>12Go Link</v>
      </c>
      <c r="E4654" s="3" t="s">
        <v>94</v>
      </c>
      <c r="K4654" s="5"/>
    </row>
    <row r="4655">
      <c r="A4655" s="3" t="s">
        <v>3647</v>
      </c>
      <c r="B4655" s="3" t="s">
        <v>3619</v>
      </c>
      <c r="C4655" s="3" t="s">
        <v>4482</v>
      </c>
      <c r="D4655" s="4" t="str">
        <f>HYPERLINK("https://12go.asia/en/travel/delhi-shahdara-jn/bandikui-junction", "12Go Link")</f>
        <v>12Go Link</v>
      </c>
      <c r="E4655" s="3" t="s">
        <v>94</v>
      </c>
      <c r="K4655" s="5"/>
    </row>
    <row r="4656">
      <c r="A4656" s="3" t="s">
        <v>3647</v>
      </c>
      <c r="B4656" s="3" t="s">
        <v>4483</v>
      </c>
      <c r="C4656" s="3" t="s">
        <v>4484</v>
      </c>
      <c r="D4656" s="4" t="str">
        <f>HYPERLINK("https://12go.asia/en/travel/anand-vihar-trm/barsoi-junction", "12Go Link")</f>
        <v>12Go Link</v>
      </c>
      <c r="E4656" s="3" t="s">
        <v>94</v>
      </c>
      <c r="K4656" s="5"/>
    </row>
    <row r="4657">
      <c r="A4657" s="3" t="s">
        <v>3647</v>
      </c>
      <c r="B4657" s="3" t="s">
        <v>4483</v>
      </c>
      <c r="C4657" s="3" t="s">
        <v>4485</v>
      </c>
      <c r="D4657" s="4" t="str">
        <f>HYPERLINK("https://12go.asia/en/travel/delhi/barsoi", "12Go Link")</f>
        <v>12Go Link</v>
      </c>
      <c r="E4657" s="3" t="s">
        <v>94</v>
      </c>
      <c r="K4657" s="5"/>
    </row>
    <row r="4658">
      <c r="A4658" s="3" t="s">
        <v>3647</v>
      </c>
      <c r="B4658" s="3" t="s">
        <v>4483</v>
      </c>
      <c r="C4658" s="3" t="s">
        <v>4486</v>
      </c>
      <c r="D4658" s="4" t="str">
        <f>HYPERLINK("https://12go.asia/en/travel/delhi/barsoi-junction", "12Go Link")</f>
        <v>12Go Link</v>
      </c>
      <c r="E4658" s="3" t="s">
        <v>94</v>
      </c>
      <c r="K4658" s="5"/>
    </row>
    <row r="4659">
      <c r="A4659" s="3" t="s">
        <v>3647</v>
      </c>
      <c r="B4659" s="3" t="s">
        <v>3952</v>
      </c>
      <c r="C4659" s="3" t="s">
        <v>4487</v>
      </c>
      <c r="D4659" s="4" t="str">
        <f>HYPERLINK("https://12go.asia/en/travel/anand-vihar-trm/basti", "12Go Link")</f>
        <v>12Go Link</v>
      </c>
      <c r="E4659" s="3" t="s">
        <v>94</v>
      </c>
      <c r="K4659" s="5"/>
    </row>
    <row r="4660">
      <c r="A4660" s="3" t="s">
        <v>3647</v>
      </c>
      <c r="B4660" s="3" t="s">
        <v>3958</v>
      </c>
      <c r="C4660" s="3" t="s">
        <v>4488</v>
      </c>
      <c r="D4660" s="4" t="str">
        <f>HYPERLINK("https://12go.asia/en/travel/delhi-shahdara-jn/beas", "12Go Link")</f>
        <v>12Go Link</v>
      </c>
      <c r="E4660" s="3" t="s">
        <v>94</v>
      </c>
      <c r="K4660" s="5"/>
    </row>
    <row r="4661">
      <c r="A4661" s="3" t="s">
        <v>3647</v>
      </c>
      <c r="B4661" s="3" t="s">
        <v>3990</v>
      </c>
      <c r="C4661" s="3" t="s">
        <v>4489</v>
      </c>
      <c r="D4661" s="4" t="str">
        <f>HYPERLINK("https://12go.asia/en/travel/anand-vihar-trm/bhabua-road", "12Go Link")</f>
        <v>12Go Link</v>
      </c>
      <c r="E4661" s="3" t="s">
        <v>94</v>
      </c>
      <c r="K4661" s="5"/>
    </row>
    <row r="4662">
      <c r="A4662" s="3" t="s">
        <v>3647</v>
      </c>
      <c r="B4662" s="3" t="s">
        <v>4287</v>
      </c>
      <c r="C4662" s="3" t="s">
        <v>4490</v>
      </c>
      <c r="D4662" s="4" t="str">
        <f>HYPERLINK("https://12go.asia/en/travel/anand-vihar-trm/buxar", "12Go Link")</f>
        <v>12Go Link</v>
      </c>
      <c r="E4662" s="3" t="s">
        <v>94</v>
      </c>
      <c r="K4662" s="5"/>
    </row>
    <row r="4663">
      <c r="A4663" s="3" t="s">
        <v>3647</v>
      </c>
      <c r="B4663" s="3" t="s">
        <v>4491</v>
      </c>
      <c r="C4663" s="3" t="s">
        <v>4492</v>
      </c>
      <c r="D4663" s="4" t="str">
        <f>HYPERLINK("https://12go.asia/en/travel/anand-vihar-trm/chandausi-junction", "12Go Link")</f>
        <v>12Go Link</v>
      </c>
      <c r="E4663" s="3" t="s">
        <v>94</v>
      </c>
      <c r="K4663" s="5"/>
    </row>
    <row r="4664">
      <c r="A4664" s="3" t="s">
        <v>3647</v>
      </c>
      <c r="B4664" s="3" t="s">
        <v>4491</v>
      </c>
      <c r="C4664" s="3" t="s">
        <v>4493</v>
      </c>
      <c r="D4664" s="4" t="str">
        <f>HYPERLINK("https://12go.asia/en/travel/delhi/chandausi", "12Go Link")</f>
        <v>12Go Link</v>
      </c>
      <c r="E4664" s="3" t="s">
        <v>94</v>
      </c>
      <c r="K4664" s="5"/>
    </row>
    <row r="4665">
      <c r="A4665" s="3" t="s">
        <v>3647</v>
      </c>
      <c r="B4665" s="3" t="s">
        <v>4491</v>
      </c>
      <c r="C4665" s="3" t="s">
        <v>4494</v>
      </c>
      <c r="D4665" s="4" t="str">
        <f>HYPERLINK("https://12go.asia/en/travel/delhi/chandausi-junction", "12Go Link")</f>
        <v>12Go Link</v>
      </c>
      <c r="E4665" s="3" t="s">
        <v>94</v>
      </c>
      <c r="K4665" s="5"/>
    </row>
    <row r="4666">
      <c r="A4666" s="3" t="s">
        <v>3647</v>
      </c>
      <c r="B4666" s="3" t="s">
        <v>4383</v>
      </c>
      <c r="C4666" s="3" t="s">
        <v>4495</v>
      </c>
      <c r="D4666" s="4" t="str">
        <f>HYPERLINK("https://12go.asia/en/travel/anand-vihar-trm/chhapra", "12Go Link")</f>
        <v>12Go Link</v>
      </c>
      <c r="E4666" s="3" t="s">
        <v>94</v>
      </c>
      <c r="K4666" s="5"/>
    </row>
    <row r="4667">
      <c r="A4667" s="3" t="s">
        <v>3647</v>
      </c>
      <c r="B4667" s="3" t="s">
        <v>4447</v>
      </c>
      <c r="C4667" s="3" t="s">
        <v>4496</v>
      </c>
      <c r="D4667" s="4" t="str">
        <f>HYPERLINK("https://12go.asia/en/travel/anand-vihar-trm/new-cooch-behar", "12Go Link")</f>
        <v>12Go Link</v>
      </c>
      <c r="E4667" s="3" t="s">
        <v>94</v>
      </c>
      <c r="K4667" s="5"/>
    </row>
    <row r="4668">
      <c r="A4668" s="3" t="s">
        <v>3647</v>
      </c>
      <c r="B4668" s="3" t="s">
        <v>4156</v>
      </c>
      <c r="C4668" s="3" t="s">
        <v>4497</v>
      </c>
      <c r="D4668" s="4" t="str">
        <f>HYPERLINK("https://12go.asia/en/travel/delhi/deoghar", "12Go Link")</f>
        <v>12Go Link</v>
      </c>
      <c r="E4668" s="3" t="s">
        <v>94</v>
      </c>
      <c r="K4668" s="5"/>
    </row>
    <row r="4669">
      <c r="A4669" s="3" t="s">
        <v>3647</v>
      </c>
      <c r="B4669" s="3" t="s">
        <v>4498</v>
      </c>
      <c r="C4669" s="3" t="s">
        <v>4499</v>
      </c>
      <c r="D4669" s="4" t="str">
        <f>HYPERLINK("https://12go.asia/en/travel/delhi-cantt/dwarka", "12Go Link")</f>
        <v>12Go Link</v>
      </c>
      <c r="E4669" s="3" t="s">
        <v>94</v>
      </c>
      <c r="K4669" s="5"/>
    </row>
    <row r="4670">
      <c r="A4670" s="3" t="s">
        <v>3647</v>
      </c>
      <c r="B4670" s="3" t="s">
        <v>3652</v>
      </c>
      <c r="C4670" s="3" t="s">
        <v>4500</v>
      </c>
      <c r="D4670" s="4" t="str">
        <f>HYPERLINK("https://12go.asia/en/travel/sabzi-mandi/firozabad", "12Go Link")</f>
        <v>12Go Link</v>
      </c>
      <c r="E4670" s="3" t="s">
        <v>94</v>
      </c>
      <c r="K4670" s="5"/>
    </row>
    <row r="4671">
      <c r="A4671" s="3" t="s">
        <v>3647</v>
      </c>
      <c r="B4671" s="3" t="s">
        <v>4501</v>
      </c>
      <c r="C4671" s="3" t="s">
        <v>4502</v>
      </c>
      <c r="D4671" s="4" t="str">
        <f>HYPERLINK("https://12go.asia/en/travel/delhi-cantt/gajraula-junction", "12Go Link")</f>
        <v>12Go Link</v>
      </c>
      <c r="E4671" s="3" t="s">
        <v>94</v>
      </c>
      <c r="K4671" s="5"/>
    </row>
    <row r="4672">
      <c r="A4672" s="3" t="s">
        <v>3647</v>
      </c>
      <c r="B4672" s="3" t="s">
        <v>4503</v>
      </c>
      <c r="C4672" s="3" t="s">
        <v>4504</v>
      </c>
      <c r="D4672" s="4" t="str">
        <f>HYPERLINK("https://12go.asia/en/travel/delhi-sarai-rohilla/gotan", "12Go Link")</f>
        <v>12Go Link</v>
      </c>
      <c r="E4672" s="3" t="s">
        <v>94</v>
      </c>
      <c r="K4672" s="5"/>
    </row>
    <row r="4673">
      <c r="A4673" s="3" t="s">
        <v>3647</v>
      </c>
      <c r="B4673" s="3" t="s">
        <v>4503</v>
      </c>
      <c r="C4673" s="3" t="s">
        <v>4505</v>
      </c>
      <c r="D4673" s="4" t="str">
        <f>HYPERLINK("https://12go.asia/en/travel/delhi/gotan", "12Go Link")</f>
        <v>12Go Link</v>
      </c>
      <c r="E4673" s="3" t="s">
        <v>94</v>
      </c>
      <c r="K4673" s="5"/>
    </row>
    <row r="4674">
      <c r="A4674" s="3" t="s">
        <v>3647</v>
      </c>
      <c r="B4674" s="3" t="s">
        <v>4166</v>
      </c>
      <c r="C4674" s="3" t="s">
        <v>4506</v>
      </c>
      <c r="D4674" s="4" t="str">
        <f>HYPERLINK("https://12go.asia/en/travel/anand-vihar-trm/jalpaiguri-road", "12Go Link")</f>
        <v>12Go Link</v>
      </c>
      <c r="E4674" s="3" t="s">
        <v>94</v>
      </c>
      <c r="K4674" s="5"/>
    </row>
    <row r="4675">
      <c r="A4675" s="3" t="s">
        <v>3647</v>
      </c>
      <c r="B4675" s="3" t="s">
        <v>4507</v>
      </c>
      <c r="C4675" s="3" t="s">
        <v>4508</v>
      </c>
      <c r="D4675" s="4" t="str">
        <f>HYPERLINK("https://12go.asia/en/travel/delhi/jamui", "12Go Link")</f>
        <v>12Go Link</v>
      </c>
      <c r="E4675" s="3" t="s">
        <v>94</v>
      </c>
      <c r="K4675" s="5"/>
    </row>
    <row r="4676">
      <c r="A4676" s="3" t="s">
        <v>3647</v>
      </c>
      <c r="B4676" s="3" t="s">
        <v>4509</v>
      </c>
      <c r="C4676" s="3" t="s">
        <v>4510</v>
      </c>
      <c r="D4676" s="4" t="str">
        <f>HYPERLINK("https://12go.asia/en/travel/delhi/jarwal-road", "12Go Link")</f>
        <v>12Go Link</v>
      </c>
      <c r="E4676" s="3" t="s">
        <v>94</v>
      </c>
      <c r="K4676" s="5"/>
    </row>
    <row r="4677">
      <c r="A4677" s="3" t="s">
        <v>3647</v>
      </c>
      <c r="B4677" s="3" t="s">
        <v>4511</v>
      </c>
      <c r="C4677" s="3" t="s">
        <v>4512</v>
      </c>
      <c r="D4677" s="4" t="str">
        <f>HYPERLINK("https://12go.asia/en/travel/anand-vihar-trm/jaunpur-junction", "12Go Link")</f>
        <v>12Go Link</v>
      </c>
      <c r="E4677" s="3" t="s">
        <v>94</v>
      </c>
      <c r="K4677" s="5"/>
    </row>
    <row r="4678">
      <c r="A4678" s="3" t="s">
        <v>3647</v>
      </c>
      <c r="B4678" s="3" t="s">
        <v>3955</v>
      </c>
      <c r="C4678" s="3" t="s">
        <v>4513</v>
      </c>
      <c r="D4678" s="4" t="str">
        <f>HYPERLINK("https://12go.asia/en/travel/anand-vihar-trm/govindpuri", "12Go Link")</f>
        <v>12Go Link</v>
      </c>
      <c r="E4678" s="3" t="s">
        <v>94</v>
      </c>
      <c r="K4678" s="5"/>
    </row>
    <row r="4679">
      <c r="A4679" s="3" t="s">
        <v>3647</v>
      </c>
      <c r="B4679" s="3" t="s">
        <v>4174</v>
      </c>
      <c r="C4679" s="3" t="s">
        <v>4514</v>
      </c>
      <c r="D4679" s="4" t="str">
        <f>HYPERLINK("https://12go.asia/en/travel/delhi-cantt/katihar-junction", "12Go Link")</f>
        <v>12Go Link</v>
      </c>
      <c r="E4679" s="3" t="s">
        <v>94</v>
      </c>
      <c r="K4679" s="5"/>
    </row>
    <row r="4680">
      <c r="A4680" s="3" t="s">
        <v>3647</v>
      </c>
      <c r="B4680" s="3" t="s">
        <v>4174</v>
      </c>
      <c r="C4680" s="3" t="s">
        <v>4515</v>
      </c>
      <c r="D4680" s="4" t="str">
        <f>HYPERLINK("https://12go.asia/en/travel/delhi/katihar-junction", "12Go Link")</f>
        <v>12Go Link</v>
      </c>
      <c r="E4680" s="3" t="s">
        <v>94</v>
      </c>
      <c r="K4680" s="5"/>
    </row>
    <row r="4681">
      <c r="A4681" s="3" t="s">
        <v>3647</v>
      </c>
      <c r="B4681" s="3" t="s">
        <v>4174</v>
      </c>
      <c r="C4681" s="3" t="s">
        <v>4516</v>
      </c>
      <c r="D4681" s="4" t="str">
        <f>HYPERLINK("https://12go.asia/en/travel/sabzi-mandi/katihar-junction", "12Go Link")</f>
        <v>12Go Link</v>
      </c>
      <c r="E4681" s="3" t="s">
        <v>94</v>
      </c>
      <c r="K4681" s="5"/>
    </row>
    <row r="4682">
      <c r="A4682" s="3" t="s">
        <v>3647</v>
      </c>
      <c r="B4682" s="3" t="s">
        <v>4517</v>
      </c>
      <c r="C4682" s="3" t="s">
        <v>4518</v>
      </c>
      <c r="D4682" s="4" t="str">
        <f>HYPERLINK("https://12go.asia/en/travel/hazrat-nizamuddin/katni", "12Go Link")</f>
        <v>12Go Link</v>
      </c>
      <c r="E4682" s="3" t="s">
        <v>94</v>
      </c>
      <c r="K4682" s="5"/>
    </row>
    <row r="4683">
      <c r="A4683" s="3" t="s">
        <v>3647</v>
      </c>
      <c r="B4683" s="3" t="s">
        <v>4517</v>
      </c>
      <c r="C4683" s="3" t="s">
        <v>4519</v>
      </c>
      <c r="D4683" s="4" t="str">
        <f>HYPERLINK("https://12go.asia/en/travel/hazrat-nizamuddin/katni-murwara", "12Go Link")</f>
        <v>12Go Link</v>
      </c>
      <c r="E4683" s="3" t="s">
        <v>94</v>
      </c>
      <c r="K4683" s="5"/>
    </row>
    <row r="4684">
      <c r="A4684" s="3" t="s">
        <v>3647</v>
      </c>
      <c r="B4684" s="3" t="s">
        <v>4520</v>
      </c>
      <c r="C4684" s="3" t="s">
        <v>4521</v>
      </c>
      <c r="D4684" s="4" t="str">
        <f>HYPERLINK("https://12go.asia/en/travel/delhi/khurja", "12Go Link")</f>
        <v>12Go Link</v>
      </c>
      <c r="E4684" s="3" t="s">
        <v>94</v>
      </c>
      <c r="K4684" s="5"/>
    </row>
    <row r="4685">
      <c r="A4685" s="3" t="s">
        <v>3647</v>
      </c>
      <c r="B4685" s="3" t="s">
        <v>4520</v>
      </c>
      <c r="C4685" s="3" t="s">
        <v>4522</v>
      </c>
      <c r="D4685" s="4" t="str">
        <f>HYPERLINK("https://12go.asia/en/travel/delhi/khurja-junction", "12Go Link")</f>
        <v>12Go Link</v>
      </c>
      <c r="E4685" s="3" t="s">
        <v>94</v>
      </c>
      <c r="K4685" s="5"/>
    </row>
    <row r="4686">
      <c r="A4686" s="3" t="s">
        <v>3647</v>
      </c>
      <c r="B4686" s="3" t="s">
        <v>4520</v>
      </c>
      <c r="C4686" s="3" t="s">
        <v>4523</v>
      </c>
      <c r="D4686" s="4" t="str">
        <f>HYPERLINK("https://12go.asia/en/travel/sabzi-mandi/khurja-junction", "12Go Link")</f>
        <v>12Go Link</v>
      </c>
      <c r="E4686" s="3" t="s">
        <v>94</v>
      </c>
      <c r="K4686" s="5"/>
    </row>
    <row r="4687">
      <c r="A4687" s="3" t="s">
        <v>3647</v>
      </c>
      <c r="B4687" s="3" t="s">
        <v>4524</v>
      </c>
      <c r="C4687" s="3" t="s">
        <v>4525</v>
      </c>
      <c r="D4687" s="4" t="str">
        <f>HYPERLINK("https://12go.asia/en/travel/delhi/kiul-junction", "12Go Link")</f>
        <v>12Go Link</v>
      </c>
      <c r="E4687" s="3" t="s">
        <v>94</v>
      </c>
      <c r="K4687" s="5"/>
    </row>
    <row r="4688">
      <c r="A4688" s="3" t="s">
        <v>3647</v>
      </c>
      <c r="B4688" s="3" t="s">
        <v>4526</v>
      </c>
      <c r="C4688" s="3" t="s">
        <v>4527</v>
      </c>
      <c r="D4688" s="4" t="str">
        <f>HYPERLINK("https://12go.asia/en/travel/delhi/kokrajhar", "12Go Link")</f>
        <v>12Go Link</v>
      </c>
      <c r="E4688" s="3" t="s">
        <v>94</v>
      </c>
      <c r="K4688" s="5"/>
    </row>
    <row r="4689">
      <c r="A4689" s="3" t="s">
        <v>3647</v>
      </c>
      <c r="B4689" s="3" t="s">
        <v>4528</v>
      </c>
      <c r="C4689" s="3" t="s">
        <v>4529</v>
      </c>
      <c r="D4689" s="4" t="str">
        <f>HYPERLINK("https://12go.asia/en/travel/delhi/mainpuri", "12Go Link")</f>
        <v>12Go Link</v>
      </c>
      <c r="E4689" s="3" t="s">
        <v>94</v>
      </c>
      <c r="K4689" s="5"/>
    </row>
    <row r="4690">
      <c r="A4690" s="3" t="s">
        <v>3647</v>
      </c>
      <c r="B4690" s="3" t="s">
        <v>4530</v>
      </c>
      <c r="C4690" s="3" t="s">
        <v>4531</v>
      </c>
      <c r="D4690" s="4" t="str">
        <f>HYPERLINK("https://12go.asia/en/travel/sabzi-mandi/muzaffarpur-junction", "12Go Link")</f>
        <v>12Go Link</v>
      </c>
      <c r="E4690" s="3" t="s">
        <v>94</v>
      </c>
      <c r="K4690" s="5"/>
    </row>
    <row r="4691">
      <c r="A4691" s="3" t="s">
        <v>3647</v>
      </c>
      <c r="B4691" s="3" t="s">
        <v>4532</v>
      </c>
      <c r="C4691" s="3" t="s">
        <v>4533</v>
      </c>
      <c r="D4691" s="4" t="str">
        <f>HYPERLINK("https://12go.asia/en/travel/delhi-sarai-rohilla/narnaul", "12Go Link")</f>
        <v>12Go Link</v>
      </c>
      <c r="E4691" s="3" t="s">
        <v>94</v>
      </c>
      <c r="K4691" s="5"/>
    </row>
    <row r="4692">
      <c r="A4692" s="3" t="s">
        <v>3647</v>
      </c>
      <c r="B4692" s="3" t="s">
        <v>3752</v>
      </c>
      <c r="C4692" s="3" t="s">
        <v>4534</v>
      </c>
      <c r="D4692" s="4" t="str">
        <f>HYPERLINK("https://12go.asia/en/travel/sabzi-mandi/prayagraj-junction", "12Go Link")</f>
        <v>12Go Link</v>
      </c>
      <c r="E4692" s="3" t="s">
        <v>94</v>
      </c>
      <c r="K4692" s="5"/>
    </row>
    <row r="4693">
      <c r="A4693" s="3" t="s">
        <v>3647</v>
      </c>
      <c r="B4693" s="3" t="s">
        <v>4075</v>
      </c>
      <c r="C4693" s="3" t="s">
        <v>4535</v>
      </c>
      <c r="D4693" s="4" t="str">
        <f>HYPERLINK("https://12go.asia/en/travel/delhi-sarai-rohilla/rampura-phul", "12Go Link")</f>
        <v>12Go Link</v>
      </c>
      <c r="E4693" s="3" t="s">
        <v>94</v>
      </c>
      <c r="K4693" s="5"/>
    </row>
    <row r="4694">
      <c r="A4694" s="3" t="s">
        <v>3647</v>
      </c>
      <c r="B4694" s="3" t="s">
        <v>4536</v>
      </c>
      <c r="C4694" s="3" t="s">
        <v>4537</v>
      </c>
      <c r="D4694" s="4" t="str">
        <f>HYPERLINK("https://12go.asia/en/travel/delhi-cantt/rampur", "12Go Link")</f>
        <v>12Go Link</v>
      </c>
      <c r="E4694" s="3" t="s">
        <v>94</v>
      </c>
      <c r="K4694" s="5"/>
    </row>
    <row r="4695">
      <c r="A4695" s="3" t="s">
        <v>3647</v>
      </c>
      <c r="B4695" s="3" t="s">
        <v>3759</v>
      </c>
      <c r="C4695" s="3" t="s">
        <v>4538</v>
      </c>
      <c r="D4695" s="4" t="str">
        <f>HYPERLINK("https://12go.asia/en/travel/sabzi-mandi/ranchi", "12Go Link")</f>
        <v>12Go Link</v>
      </c>
      <c r="E4695" s="3" t="s">
        <v>94</v>
      </c>
      <c r="K4695" s="5"/>
    </row>
    <row r="4696">
      <c r="A4696" s="3" t="s">
        <v>3647</v>
      </c>
      <c r="B4696" s="3" t="s">
        <v>4539</v>
      </c>
      <c r="C4696" s="3" t="s">
        <v>4540</v>
      </c>
      <c r="D4696" s="4" t="str">
        <f>HYPERLINK("https://12go.asia/en/travel/hazrat-nizamuddin/ratnagiri", "12Go Link")</f>
        <v>12Go Link</v>
      </c>
      <c r="E4696" s="3" t="s">
        <v>94</v>
      </c>
      <c r="K4696" s="5"/>
    </row>
    <row r="4697">
      <c r="A4697" s="3" t="s">
        <v>3647</v>
      </c>
      <c r="B4697" s="3" t="s">
        <v>4541</v>
      </c>
      <c r="C4697" s="3" t="s">
        <v>4542</v>
      </c>
      <c r="D4697" s="4" t="str">
        <f>HYPERLINK("https://12go.asia/en/travel/delhi/saharsa", "12Go Link")</f>
        <v>12Go Link</v>
      </c>
      <c r="E4697" s="3" t="s">
        <v>94</v>
      </c>
      <c r="K4697" s="5"/>
    </row>
    <row r="4698">
      <c r="A4698" s="3" t="s">
        <v>3647</v>
      </c>
      <c r="B4698" s="3" t="s">
        <v>4196</v>
      </c>
      <c r="C4698" s="3" t="s">
        <v>4543</v>
      </c>
      <c r="D4698" s="4" t="str">
        <f>HYPERLINK("https://12go.asia/en/travel/sabzi-mandi/samastipur-junction", "12Go Link")</f>
        <v>12Go Link</v>
      </c>
      <c r="E4698" s="3" t="s">
        <v>94</v>
      </c>
      <c r="K4698" s="5"/>
    </row>
    <row r="4699">
      <c r="A4699" s="3" t="s">
        <v>3647</v>
      </c>
      <c r="B4699" s="3" t="s">
        <v>4544</v>
      </c>
      <c r="C4699" s="3" t="s">
        <v>4545</v>
      </c>
      <c r="D4699" s="4" t="str">
        <f>HYPERLINK("https://12go.asia/en/travel/anand-vihar-trm/shahganj-junction", "12Go Link")</f>
        <v>12Go Link</v>
      </c>
      <c r="E4699" s="3" t="s">
        <v>94</v>
      </c>
      <c r="K4699" s="5"/>
    </row>
    <row r="4700">
      <c r="A4700" s="3" t="s">
        <v>3647</v>
      </c>
      <c r="B4700" s="3" t="s">
        <v>4544</v>
      </c>
      <c r="C4700" s="3" t="s">
        <v>4546</v>
      </c>
      <c r="D4700" s="4" t="str">
        <f>HYPERLINK("https://12go.asia/en/travel/delhi-cantt/shahganj-junction", "12Go Link")</f>
        <v>12Go Link</v>
      </c>
      <c r="E4700" s="3" t="s">
        <v>94</v>
      </c>
      <c r="K4700" s="5"/>
    </row>
    <row r="4701">
      <c r="A4701" s="3" t="s">
        <v>3647</v>
      </c>
      <c r="B4701" s="3" t="s">
        <v>4544</v>
      </c>
      <c r="C4701" s="3" t="s">
        <v>4547</v>
      </c>
      <c r="D4701" s="4" t="str">
        <f>HYPERLINK("https://12go.asia/en/travel/delhi/shahganj", "12Go Link")</f>
        <v>12Go Link</v>
      </c>
      <c r="E4701" s="3" t="s">
        <v>94</v>
      </c>
      <c r="K4701" s="5"/>
    </row>
    <row r="4702">
      <c r="A4702" s="3" t="s">
        <v>3647</v>
      </c>
      <c r="B4702" s="3" t="s">
        <v>4544</v>
      </c>
      <c r="C4702" s="3" t="s">
        <v>4548</v>
      </c>
      <c r="D4702" s="4" t="str">
        <f>HYPERLINK("https://12go.asia/en/travel/delhi/shahganj-junction", "12Go Link")</f>
        <v>12Go Link</v>
      </c>
      <c r="E4702" s="3" t="s">
        <v>94</v>
      </c>
      <c r="K4702" s="5"/>
    </row>
    <row r="4703">
      <c r="A4703" s="3" t="s">
        <v>3647</v>
      </c>
      <c r="B4703" s="3" t="s">
        <v>4549</v>
      </c>
      <c r="C4703" s="3" t="s">
        <v>4550</v>
      </c>
      <c r="D4703" s="4" t="str">
        <f>HYPERLINK("https://12go.asia/en/travel/delhi-cantt/sirhind-junction", "12Go Link")</f>
        <v>12Go Link</v>
      </c>
      <c r="E4703" s="3" t="s">
        <v>94</v>
      </c>
      <c r="K4703" s="5"/>
    </row>
    <row r="4704">
      <c r="A4704" s="3" t="s">
        <v>3647</v>
      </c>
      <c r="B4704" s="3" t="s">
        <v>4549</v>
      </c>
      <c r="C4704" s="3" t="s">
        <v>4551</v>
      </c>
      <c r="D4704" s="4" t="str">
        <f>HYPERLINK("https://12go.asia/en/travel/delhi-shahdara-jn/sirhind-junction", "12Go Link")</f>
        <v>12Go Link</v>
      </c>
      <c r="E4704" s="3" t="s">
        <v>94</v>
      </c>
      <c r="K4704" s="5"/>
    </row>
    <row r="4705">
      <c r="A4705" s="3" t="s">
        <v>3647</v>
      </c>
      <c r="B4705" s="3" t="s">
        <v>4549</v>
      </c>
      <c r="C4705" s="3" t="s">
        <v>4552</v>
      </c>
      <c r="D4705" s="4" t="str">
        <f>HYPERLINK("https://12go.asia/en/travel/delhi/sirhind-junction", "12Go Link")</f>
        <v>12Go Link</v>
      </c>
      <c r="E4705" s="3" t="s">
        <v>94</v>
      </c>
      <c r="K4705" s="5"/>
    </row>
    <row r="4706">
      <c r="A4706" s="3" t="s">
        <v>3647</v>
      </c>
      <c r="B4706" s="3" t="s">
        <v>4549</v>
      </c>
      <c r="C4706" s="3" t="s">
        <v>4553</v>
      </c>
      <c r="D4706" s="4" t="str">
        <f>HYPERLINK("https://12go.asia/en/travel/hazrat-nizamuddin/sirhind-junction", "12Go Link")</f>
        <v>12Go Link</v>
      </c>
      <c r="E4706" s="3" t="s">
        <v>94</v>
      </c>
      <c r="K4706" s="5"/>
    </row>
    <row r="4707">
      <c r="A4707" s="3" t="s">
        <v>3647</v>
      </c>
      <c r="B4707" s="3" t="s">
        <v>3773</v>
      </c>
      <c r="C4707" s="3" t="s">
        <v>4554</v>
      </c>
      <c r="D4707" s="4" t="str">
        <f>HYPERLINK("https://12go.asia/en/travel/delhi/tambaram", "12Go Link")</f>
        <v>12Go Link</v>
      </c>
      <c r="E4707" s="3" t="s">
        <v>94</v>
      </c>
      <c r="K4707" s="5"/>
    </row>
    <row r="4708">
      <c r="A4708" s="3" t="s">
        <v>3647</v>
      </c>
      <c r="B4708" s="3" t="s">
        <v>3773</v>
      </c>
      <c r="C4708" s="3" t="s">
        <v>4555</v>
      </c>
      <c r="D4708" s="4" t="str">
        <f>HYPERLINK("https://12go.asia/en/travel/hazrat-nizamuddin/tambaram", "12Go Link")</f>
        <v>12Go Link</v>
      </c>
      <c r="E4708" s="3" t="s">
        <v>94</v>
      </c>
      <c r="K4708" s="5"/>
    </row>
    <row r="4709">
      <c r="A4709" s="3" t="s">
        <v>3647</v>
      </c>
      <c r="B4709" s="3" t="s">
        <v>3924</v>
      </c>
      <c r="C4709" s="3" t="s">
        <v>4556</v>
      </c>
      <c r="D4709" s="4" t="str">
        <f>HYPERLINK("https://12go.asia/en/travel/sabzi-mandi/tatanagar", "12Go Link")</f>
        <v>12Go Link</v>
      </c>
      <c r="E4709" s="3" t="s">
        <v>94</v>
      </c>
      <c r="K4709" s="5"/>
    </row>
    <row r="4710">
      <c r="A4710" s="3" t="s">
        <v>3647</v>
      </c>
      <c r="B4710" s="3" t="s">
        <v>4557</v>
      </c>
      <c r="C4710" s="3" t="s">
        <v>4558</v>
      </c>
      <c r="D4710" s="4" t="str">
        <f>HYPERLINK("https://12go.asia/en/travel/delhi/zamania", "12Go Link")</f>
        <v>12Go Link</v>
      </c>
      <c r="E4710" s="3" t="s">
        <v>94</v>
      </c>
      <c r="K4710" s="5"/>
    </row>
    <row r="4711">
      <c r="A4711" s="3" t="s">
        <v>4156</v>
      </c>
      <c r="B4711" s="3" t="s">
        <v>4001</v>
      </c>
      <c r="C4711" s="3" t="s">
        <v>4559</v>
      </c>
      <c r="D4711" s="4" t="str">
        <f>HYPERLINK("https://12go.asia/en/travel/deoghar/bihar", "12Go Link")</f>
        <v>12Go Link</v>
      </c>
      <c r="E4711" s="3" t="s">
        <v>94</v>
      </c>
      <c r="K4711" s="5"/>
    </row>
    <row r="4712">
      <c r="A4712" s="3" t="s">
        <v>4156</v>
      </c>
      <c r="B4712" s="3" t="s">
        <v>3701</v>
      </c>
      <c r="C4712" s="3" t="s">
        <v>4560</v>
      </c>
      <c r="D4712" s="4" t="str">
        <f>HYPERLINK("https://12go.asia/en/travel/deoghar-junction/howrah", "12Go Link")</f>
        <v>12Go Link</v>
      </c>
      <c r="E4712" s="3" t="s">
        <v>94</v>
      </c>
      <c r="K4712" s="5"/>
    </row>
    <row r="4713">
      <c r="A4713" s="3" t="s">
        <v>4156</v>
      </c>
      <c r="B4713" s="3" t="s">
        <v>3701</v>
      </c>
      <c r="C4713" s="3" t="s">
        <v>4561</v>
      </c>
      <c r="D4713" s="4" t="str">
        <f>HYPERLINK("https://12go.asia/en/travel/deoghar/howrah", "12Go Link")</f>
        <v>12Go Link</v>
      </c>
      <c r="E4713" s="3" t="s">
        <v>94</v>
      </c>
      <c r="K4713" s="5"/>
    </row>
    <row r="4714">
      <c r="A4714" s="3" t="s">
        <v>4156</v>
      </c>
      <c r="B4714" s="3" t="s">
        <v>4562</v>
      </c>
      <c r="C4714" s="3" t="s">
        <v>4563</v>
      </c>
      <c r="D4714" s="4" t="str">
        <f>HYPERLINK("https://12go.asia/en/travel/deoghar/jharkhand", "12Go Link")</f>
        <v>12Go Link</v>
      </c>
      <c r="E4714" s="3" t="s">
        <v>94</v>
      </c>
      <c r="K4714" s="5"/>
    </row>
    <row r="4715">
      <c r="A4715" s="3" t="s">
        <v>4156</v>
      </c>
      <c r="B4715" s="3" t="s">
        <v>3739</v>
      </c>
      <c r="C4715" s="3" t="s">
        <v>4564</v>
      </c>
      <c r="D4715" s="4" t="str">
        <f>HYPERLINK("https://12go.asia/en/travel/deoghar/mughalsarai", "12Go Link")</f>
        <v>12Go Link</v>
      </c>
      <c r="E4715" s="3" t="s">
        <v>94</v>
      </c>
      <c r="K4715" s="5"/>
    </row>
    <row r="4716">
      <c r="A4716" s="3" t="s">
        <v>4156</v>
      </c>
      <c r="B4716" s="3" t="s">
        <v>3708</v>
      </c>
      <c r="C4716" s="3" t="s">
        <v>4565</v>
      </c>
      <c r="D4716" s="4" t="str">
        <f>HYPERLINK("https://12go.asia/en/travel/deoghar/west-bengal", "12Go Link")</f>
        <v>12Go Link</v>
      </c>
      <c r="E4716" s="3" t="s">
        <v>94</v>
      </c>
      <c r="K4716" s="5"/>
    </row>
    <row r="4717">
      <c r="A4717" s="3" t="s">
        <v>4566</v>
      </c>
      <c r="B4717" s="3" t="s">
        <v>4567</v>
      </c>
      <c r="C4717" s="3" t="s">
        <v>4568</v>
      </c>
      <c r="D4717" s="4" t="str">
        <f>HYPERLINK("https://12go.asia/en/travel/dewas/kota", "12Go Link")</f>
        <v>12Go Link</v>
      </c>
      <c r="E4717" s="3" t="s">
        <v>94</v>
      </c>
      <c r="K4717" s="5"/>
    </row>
    <row r="4718">
      <c r="A4718" s="3" t="s">
        <v>4566</v>
      </c>
      <c r="B4718" s="3" t="s">
        <v>4567</v>
      </c>
      <c r="C4718" s="3" t="s">
        <v>4569</v>
      </c>
      <c r="D4718" s="4" t="str">
        <f>HYPERLINK("https://12go.asia/en/travel/dewas/kota-jn", "12Go Link")</f>
        <v>12Go Link</v>
      </c>
      <c r="E4718" s="3" t="s">
        <v>94</v>
      </c>
      <c r="K4718" s="5"/>
    </row>
    <row r="4719">
      <c r="A4719" s="3" t="s">
        <v>4566</v>
      </c>
      <c r="B4719" s="3" t="s">
        <v>3690</v>
      </c>
      <c r="C4719" s="3" t="s">
        <v>4570</v>
      </c>
      <c r="D4719" s="4" t="str">
        <f>HYPERLINK("https://12go.asia/en/travel/dewas/mumbai-central", "12Go Link")</f>
        <v>12Go Link</v>
      </c>
      <c r="E4719" s="3" t="s">
        <v>94</v>
      </c>
      <c r="K4719" s="5"/>
    </row>
    <row r="4720">
      <c r="A4720" s="3" t="s">
        <v>4566</v>
      </c>
      <c r="B4720" s="3" t="s">
        <v>3627</v>
      </c>
      <c r="C4720" s="3" t="s">
        <v>4571</v>
      </c>
      <c r="D4720" s="4" t="str">
        <f>HYPERLINK("https://12go.asia/en/travel/dewas/nagda", "12Go Link")</f>
        <v>12Go Link</v>
      </c>
      <c r="E4720" s="3" t="s">
        <v>94</v>
      </c>
      <c r="K4720" s="5"/>
    </row>
    <row r="4721">
      <c r="A4721" s="3" t="s">
        <v>4566</v>
      </c>
      <c r="B4721" s="3" t="s">
        <v>3627</v>
      </c>
      <c r="C4721" s="3" t="s">
        <v>4572</v>
      </c>
      <c r="D4721" s="4" t="str">
        <f>HYPERLINK("https://12go.asia/en/travel/dewas/nagda-junction", "12Go Link")</f>
        <v>12Go Link</v>
      </c>
      <c r="E4721" s="3" t="s">
        <v>94</v>
      </c>
      <c r="K4721" s="5"/>
    </row>
    <row r="4722">
      <c r="A4722" s="3" t="s">
        <v>4573</v>
      </c>
      <c r="B4722" s="3" t="s">
        <v>4574</v>
      </c>
      <c r="C4722" s="3" t="s">
        <v>4575</v>
      </c>
      <c r="D4722" s="4" t="str">
        <f>HYPERLINK("https://12go.asia/en/travel/dhanbad-junction/hazaribagh-town", "12Go Link")</f>
        <v>12Go Link</v>
      </c>
      <c r="E4722" s="3" t="s">
        <v>94</v>
      </c>
      <c r="K4722" s="5"/>
    </row>
    <row r="4723">
      <c r="A4723" s="3" t="s">
        <v>4573</v>
      </c>
      <c r="B4723" s="3" t="s">
        <v>4562</v>
      </c>
      <c r="C4723" s="3" t="s">
        <v>4576</v>
      </c>
      <c r="D4723" s="4" t="str">
        <f>HYPERLINK("https://12go.asia/en/travel/dhanbad-junction/tetulmari", "12Go Link")</f>
        <v>12Go Link</v>
      </c>
      <c r="E4723" s="3" t="s">
        <v>94</v>
      </c>
      <c r="K4723" s="5"/>
    </row>
    <row r="4724">
      <c r="A4724" s="3" t="s">
        <v>4573</v>
      </c>
      <c r="B4724" s="3" t="s">
        <v>4562</v>
      </c>
      <c r="C4724" s="3" t="s">
        <v>4577</v>
      </c>
      <c r="D4724" s="4" t="str">
        <f>HYPERLINK("https://12go.asia/en/travel/dhanbad/jharkhand", "12Go Link")</f>
        <v>12Go Link</v>
      </c>
      <c r="E4724" s="3" t="s">
        <v>94</v>
      </c>
      <c r="K4724" s="5"/>
    </row>
    <row r="4725">
      <c r="A4725" s="3" t="s">
        <v>4573</v>
      </c>
      <c r="B4725" s="3" t="s">
        <v>4578</v>
      </c>
      <c r="C4725" s="3" t="s">
        <v>4579</v>
      </c>
      <c r="D4725" s="4" t="str">
        <f>HYPERLINK("https://12go.asia/en/travel/dhanbad-junction/ludhiana", "12Go Link")</f>
        <v>12Go Link</v>
      </c>
      <c r="E4725" s="3" t="s">
        <v>94</v>
      </c>
      <c r="K4725" s="5"/>
    </row>
    <row r="4726">
      <c r="A4726" s="3" t="s">
        <v>4573</v>
      </c>
      <c r="B4726" s="3" t="s">
        <v>4578</v>
      </c>
      <c r="C4726" s="3" t="s">
        <v>4580</v>
      </c>
      <c r="D4726" s="4" t="str">
        <f>HYPERLINK("https://12go.asia/en/travel/dhanbad/ludhiana", "12Go Link")</f>
        <v>12Go Link</v>
      </c>
      <c r="E4726" s="3" t="s">
        <v>94</v>
      </c>
      <c r="K4726" s="5"/>
    </row>
    <row r="4727">
      <c r="A4727" s="3" t="s">
        <v>3876</v>
      </c>
      <c r="B4727" s="3" t="s">
        <v>3817</v>
      </c>
      <c r="C4727" s="3" t="s">
        <v>4581</v>
      </c>
      <c r="D4727" s="4" t="str">
        <f>HYPERLINK("https://12go.asia/en/travel/dharwad/hassan", "12Go Link")</f>
        <v>12Go Link</v>
      </c>
      <c r="E4727" s="3" t="s">
        <v>94</v>
      </c>
      <c r="K4727" s="5"/>
    </row>
    <row r="4728">
      <c r="A4728" s="3" t="s">
        <v>4582</v>
      </c>
      <c r="B4728" s="3" t="s">
        <v>4583</v>
      </c>
      <c r="C4728" s="3" t="s">
        <v>4584</v>
      </c>
      <c r="D4728" s="4" t="str">
        <f>HYPERLINK("https://12go.asia/en/travel/dhupguri/naihati-jn", "12Go Link")</f>
        <v>12Go Link</v>
      </c>
      <c r="E4728" s="3" t="s">
        <v>94</v>
      </c>
      <c r="K4728" s="5"/>
    </row>
    <row r="4729">
      <c r="A4729" s="3" t="s">
        <v>4582</v>
      </c>
      <c r="B4729" s="3" t="s">
        <v>4583</v>
      </c>
      <c r="C4729" s="3" t="s">
        <v>4585</v>
      </c>
      <c r="D4729" s="4" t="str">
        <f>HYPERLINK("https://12go.asia/en/travel/dhupguri/naihati-junction", "12Go Link")</f>
        <v>12Go Link</v>
      </c>
      <c r="E4729" s="3" t="s">
        <v>94</v>
      </c>
      <c r="K4729" s="5"/>
    </row>
    <row r="4730">
      <c r="A4730" s="3" t="s">
        <v>4586</v>
      </c>
      <c r="B4730" s="3" t="s">
        <v>3670</v>
      </c>
      <c r="C4730" s="3" t="s">
        <v>4587</v>
      </c>
      <c r="D4730" s="4" t="str">
        <f>HYPERLINK("https://12go.asia/en/travel/dhuri/amritsar", "12Go Link")</f>
        <v>12Go Link</v>
      </c>
      <c r="E4730" s="3" t="s">
        <v>94</v>
      </c>
      <c r="K4730" s="5"/>
    </row>
    <row r="4731">
      <c r="A4731" s="3" t="s">
        <v>4588</v>
      </c>
      <c r="B4731" s="3" t="s">
        <v>4589</v>
      </c>
      <c r="C4731" s="3" t="s">
        <v>4590</v>
      </c>
      <c r="D4731" s="4" t="str">
        <f>HYPERLINK("https://12go.asia/en/travel/dibrugarh/jagi-road", "12Go Link")</f>
        <v>12Go Link</v>
      </c>
      <c r="E4731" s="3" t="s">
        <v>94</v>
      </c>
      <c r="K4731" s="5"/>
    </row>
    <row r="4732">
      <c r="A4732" s="3" t="s">
        <v>4588</v>
      </c>
      <c r="B4732" s="3" t="s">
        <v>4589</v>
      </c>
      <c r="C4732" s="3" t="s">
        <v>4591</v>
      </c>
      <c r="D4732" s="4" t="str">
        <f>HYPERLINK("https://12go.asia/en/travel/dibrugarh/jagiroad", "12Go Link")</f>
        <v>12Go Link</v>
      </c>
      <c r="E4732" s="3" t="s">
        <v>94</v>
      </c>
      <c r="K4732" s="5"/>
    </row>
    <row r="4733">
      <c r="A4733" s="3" t="s">
        <v>4592</v>
      </c>
      <c r="B4733" s="3" t="s">
        <v>4593</v>
      </c>
      <c r="C4733" s="3" t="s">
        <v>4594</v>
      </c>
      <c r="D4733" s="4" t="str">
        <f>HYPERLINK("https://12go.asia/en/travel/doiwala/haryana", "12Go Link")</f>
        <v>12Go Link</v>
      </c>
      <c r="E4733" s="3" t="s">
        <v>94</v>
      </c>
      <c r="K4733" s="5"/>
    </row>
    <row r="4734">
      <c r="A4734" s="3" t="s">
        <v>4592</v>
      </c>
      <c r="B4734" s="3" t="s">
        <v>4075</v>
      </c>
      <c r="C4734" s="3" t="s">
        <v>4595</v>
      </c>
      <c r="D4734" s="4" t="str">
        <f>HYPERLINK("https://12go.asia/en/travel/doiwala/punjab", "12Go Link")</f>
        <v>12Go Link</v>
      </c>
      <c r="E4734" s="3" t="s">
        <v>94</v>
      </c>
      <c r="K4734" s="5"/>
    </row>
    <row r="4735">
      <c r="A4735" s="3" t="s">
        <v>3880</v>
      </c>
      <c r="B4735" s="3" t="s">
        <v>167</v>
      </c>
      <c r="C4735" s="3" t="s">
        <v>4596</v>
      </c>
      <c r="D4735" s="4" t="str">
        <f>HYPERLINK("https://12go.asia/en/travel/durg/mathura", "12Go Link")</f>
        <v>12Go Link</v>
      </c>
      <c r="E4735" s="3" t="s">
        <v>94</v>
      </c>
      <c r="K4735" s="5"/>
    </row>
    <row r="4736">
      <c r="A4736" s="3" t="s">
        <v>3880</v>
      </c>
      <c r="B4736" s="3" t="s">
        <v>167</v>
      </c>
      <c r="C4736" s="3" t="s">
        <v>4597</v>
      </c>
      <c r="D4736" s="4" t="str">
        <f>HYPERLINK("https://12go.asia/en/travel/durg/mathura-jn", "12Go Link")</f>
        <v>12Go Link</v>
      </c>
      <c r="E4736" s="3" t="s">
        <v>94</v>
      </c>
      <c r="K4736" s="5"/>
    </row>
    <row r="4737">
      <c r="A4737" s="3" t="s">
        <v>3880</v>
      </c>
      <c r="B4737" s="3" t="s">
        <v>189</v>
      </c>
      <c r="C4737" s="3" t="s">
        <v>4598</v>
      </c>
      <c r="D4737" s="4" t="str">
        <f>HYPERLINK("https://12go.asia/en/travel/durg/vrindavan", "12Go Link")</f>
        <v>12Go Link</v>
      </c>
      <c r="E4737" s="3" t="s">
        <v>94</v>
      </c>
      <c r="K4737" s="5"/>
    </row>
    <row r="4738">
      <c r="A4738" s="3" t="s">
        <v>4498</v>
      </c>
      <c r="B4738" s="3" t="s">
        <v>3680</v>
      </c>
      <c r="C4738" s="3" t="s">
        <v>4599</v>
      </c>
      <c r="D4738" s="4" t="str">
        <f>HYPERLINK("https://12go.asia/en/travel/dwarka/anand-gujarat", "12Go Link")</f>
        <v>12Go Link</v>
      </c>
      <c r="E4738" s="3" t="s">
        <v>94</v>
      </c>
      <c r="K4738" s="5"/>
    </row>
    <row r="4739">
      <c r="A4739" s="3" t="s">
        <v>4498</v>
      </c>
      <c r="B4739" s="3" t="s">
        <v>3680</v>
      </c>
      <c r="C4739" s="3" t="s">
        <v>4600</v>
      </c>
      <c r="D4739" s="4" t="str">
        <f>HYPERLINK("https://12go.asia/en/travel/dwarka/anand-jn", "12Go Link")</f>
        <v>12Go Link</v>
      </c>
      <c r="E4739" s="3" t="s">
        <v>94</v>
      </c>
      <c r="K4739" s="5"/>
    </row>
    <row r="4740">
      <c r="A4740" s="3" t="s">
        <v>4498</v>
      </c>
      <c r="B4740" s="3" t="s">
        <v>4601</v>
      </c>
      <c r="C4740" s="3" t="s">
        <v>4602</v>
      </c>
      <c r="D4740" s="4" t="str">
        <f>HYPERLINK("https://12go.asia/en/travel/dwarka/okha", "12Go Link")</f>
        <v>12Go Link</v>
      </c>
      <c r="E4740" s="3" t="s">
        <v>94</v>
      </c>
      <c r="K4740" s="5"/>
    </row>
    <row r="4741">
      <c r="A4741" s="3" t="s">
        <v>3721</v>
      </c>
      <c r="B4741" s="3" t="s">
        <v>3710</v>
      </c>
      <c r="C4741" s="3" t="s">
        <v>4603</v>
      </c>
      <c r="D4741" s="4" t="str">
        <f>HYPERLINK("https://12go.asia/en/travel/eluru/andhra-pradesh", "12Go Link")</f>
        <v>12Go Link</v>
      </c>
      <c r="E4741" s="3" t="s">
        <v>94</v>
      </c>
      <c r="K4741" s="5"/>
    </row>
    <row r="4742">
      <c r="A4742" s="3" t="s">
        <v>3721</v>
      </c>
      <c r="B4742" s="3" t="s">
        <v>3647</v>
      </c>
      <c r="C4742" s="3" t="s">
        <v>4604</v>
      </c>
      <c r="D4742" s="4" t="str">
        <f>HYPERLINK("https://12go.asia/en/travel/eluru/delhi", "12Go Link")</f>
        <v>12Go Link</v>
      </c>
      <c r="E4742" s="3" t="s">
        <v>94</v>
      </c>
      <c r="K4742" s="5"/>
    </row>
    <row r="4743">
      <c r="A4743" s="3" t="s">
        <v>3721</v>
      </c>
      <c r="B4743" s="3" t="s">
        <v>3723</v>
      </c>
      <c r="C4743" s="3" t="s">
        <v>4605</v>
      </c>
      <c r="D4743" s="4" t="str">
        <f>HYPERLINK("https://12go.asia/en/travel/eluru/guntur-junction", "12Go Link")</f>
        <v>12Go Link</v>
      </c>
      <c r="E4743" s="3" t="s">
        <v>94</v>
      </c>
      <c r="K4743" s="5"/>
    </row>
    <row r="4744">
      <c r="A4744" s="3" t="s">
        <v>3721</v>
      </c>
      <c r="B4744" s="3" t="s">
        <v>3701</v>
      </c>
      <c r="C4744" s="3" t="s">
        <v>4606</v>
      </c>
      <c r="D4744" s="4" t="str">
        <f>HYPERLINK("https://12go.asia/en/travel/eluru/howrah", "12Go Link")</f>
        <v>12Go Link</v>
      </c>
      <c r="E4744" s="3" t="s">
        <v>94</v>
      </c>
      <c r="K4744" s="5"/>
    </row>
    <row r="4745">
      <c r="A4745" s="3" t="s">
        <v>3721</v>
      </c>
      <c r="B4745" s="3" t="s">
        <v>3704</v>
      </c>
      <c r="C4745" s="3" t="s">
        <v>4607</v>
      </c>
      <c r="D4745" s="4" t="str">
        <f>HYPERLINK("https://12go.asia/en/travel/eluru/kolkata", "12Go Link")</f>
        <v>12Go Link</v>
      </c>
      <c r="E4745" s="3" t="s">
        <v>94</v>
      </c>
      <c r="K4745" s="5"/>
    </row>
    <row r="4746">
      <c r="A4746" s="3" t="s">
        <v>3721</v>
      </c>
      <c r="B4746" s="3" t="s">
        <v>3704</v>
      </c>
      <c r="C4746" s="3" t="s">
        <v>4608</v>
      </c>
      <c r="D4746" s="4" t="str">
        <f>HYPERLINK("https://12go.asia/en/travel/eluru/shalimar", "12Go Link")</f>
        <v>12Go Link</v>
      </c>
      <c r="E4746" s="3" t="s">
        <v>94</v>
      </c>
      <c r="K4746" s="5"/>
    </row>
    <row r="4747">
      <c r="A4747" s="3" t="s">
        <v>3721</v>
      </c>
      <c r="B4747" s="3" t="s">
        <v>3842</v>
      </c>
      <c r="C4747" s="3" t="s">
        <v>4609</v>
      </c>
      <c r="D4747" s="4" t="str">
        <f>HYPERLINK("https://12go.asia/en/travel/eluru/new-delhi", "12Go Link")</f>
        <v>12Go Link</v>
      </c>
      <c r="E4747" s="3" t="s">
        <v>94</v>
      </c>
      <c r="K4747" s="5"/>
    </row>
    <row r="4748">
      <c r="A4748" s="3" t="s">
        <v>3721</v>
      </c>
      <c r="B4748" s="3" t="s">
        <v>4610</v>
      </c>
      <c r="C4748" s="3" t="s">
        <v>4611</v>
      </c>
      <c r="D4748" s="4" t="str">
        <f>HYPERLINK("https://12go.asia/en/travel/eluru/vijayawada-jn", "12Go Link")</f>
        <v>12Go Link</v>
      </c>
      <c r="E4748" s="3" t="s">
        <v>94</v>
      </c>
      <c r="K4748" s="5"/>
    </row>
    <row r="4749">
      <c r="A4749" s="3" t="s">
        <v>3721</v>
      </c>
      <c r="B4749" s="3" t="s">
        <v>3708</v>
      </c>
      <c r="C4749" s="3" t="s">
        <v>4612</v>
      </c>
      <c r="D4749" s="4" t="str">
        <f>HYPERLINK("https://12go.asia/en/travel/eluru/west-bengal", "12Go Link")</f>
        <v>12Go Link</v>
      </c>
      <c r="E4749" s="3" t="s">
        <v>94</v>
      </c>
      <c r="K4749" s="5"/>
    </row>
    <row r="4750">
      <c r="A4750" s="3" t="s">
        <v>4158</v>
      </c>
      <c r="B4750" s="3" t="s">
        <v>3657</v>
      </c>
      <c r="C4750" s="3" t="s">
        <v>4613</v>
      </c>
      <c r="D4750" s="4" t="str">
        <f>HYPERLINK("https://12go.asia/en/travel/ernakulam/aluva", "12Go Link")</f>
        <v>12Go Link</v>
      </c>
      <c r="E4750" s="3" t="s">
        <v>94</v>
      </c>
      <c r="K4750" s="5"/>
    </row>
    <row r="4751">
      <c r="A4751" s="3" t="s">
        <v>4158</v>
      </c>
      <c r="B4751" s="3" t="s">
        <v>4110</v>
      </c>
      <c r="C4751" s="3" t="s">
        <v>4614</v>
      </c>
      <c r="D4751" s="4" t="str">
        <f>HYPERLINK("https://12go.asia/en/travel/ernakulam/bhusaval", "12Go Link")</f>
        <v>12Go Link</v>
      </c>
      <c r="E4751" s="3" t="s">
        <v>94</v>
      </c>
      <c r="K4751" s="5"/>
    </row>
    <row r="4752">
      <c r="A4752" s="3" t="s">
        <v>4158</v>
      </c>
      <c r="B4752" s="3" t="s">
        <v>4615</v>
      </c>
      <c r="C4752" s="3" t="s">
        <v>4616</v>
      </c>
      <c r="D4752" s="4" t="str">
        <f>HYPERLINK("https://12go.asia/en/travel/ernakulam/chalakudy", "12Go Link")</f>
        <v>12Go Link</v>
      </c>
      <c r="E4752" s="3" t="s">
        <v>94</v>
      </c>
      <c r="K4752" s="5"/>
    </row>
    <row r="4753">
      <c r="A4753" s="3" t="s">
        <v>4158</v>
      </c>
      <c r="B4753" s="3" t="s">
        <v>3896</v>
      </c>
      <c r="C4753" s="3" t="s">
        <v>4617</v>
      </c>
      <c r="D4753" s="4" t="str">
        <f>HYPERLINK("https://12go.asia/en/travel/ernakulam/irinjalakuda", "12Go Link")</f>
        <v>12Go Link</v>
      </c>
      <c r="E4753" s="3" t="s">
        <v>94</v>
      </c>
      <c r="K4753" s="5"/>
    </row>
    <row r="4754">
      <c r="A4754" s="3" t="s">
        <v>4158</v>
      </c>
      <c r="B4754" s="3" t="s">
        <v>4618</v>
      </c>
      <c r="C4754" s="3" t="s">
        <v>4619</v>
      </c>
      <c r="D4754" s="4" t="str">
        <f>HYPERLINK("https://12go.asia/en/travel/ernakulam/karaikal", "12Go Link")</f>
        <v>12Go Link</v>
      </c>
      <c r="E4754" s="3" t="s">
        <v>94</v>
      </c>
      <c r="K4754" s="5"/>
    </row>
    <row r="4755">
      <c r="A4755" s="3" t="s">
        <v>4158</v>
      </c>
      <c r="B4755" s="3" t="s">
        <v>4578</v>
      </c>
      <c r="C4755" s="3" t="s">
        <v>4620</v>
      </c>
      <c r="D4755" s="4" t="str">
        <f>HYPERLINK("https://12go.asia/en/travel/ernakulam/ludhiana", "12Go Link")</f>
        <v>12Go Link</v>
      </c>
      <c r="E4755" s="3" t="s">
        <v>94</v>
      </c>
      <c r="K4755" s="5"/>
    </row>
    <row r="4756">
      <c r="A4756" s="3" t="s">
        <v>4158</v>
      </c>
      <c r="B4756" s="3" t="s">
        <v>3625</v>
      </c>
      <c r="C4756" s="3" t="s">
        <v>4621</v>
      </c>
      <c r="D4756" s="4" t="str">
        <f>HYPERLINK("https://12go.asia/en/travel/ernakulam/manipal", "12Go Link")</f>
        <v>12Go Link</v>
      </c>
      <c r="E4756" s="3" t="s">
        <v>94</v>
      </c>
      <c r="K4756" s="5"/>
    </row>
    <row r="4757">
      <c r="A4757" s="3" t="s">
        <v>4158</v>
      </c>
      <c r="B4757" s="3" t="s">
        <v>165</v>
      </c>
      <c r="C4757" s="3" t="s">
        <v>4622</v>
      </c>
      <c r="D4757" s="4" t="str">
        <f>HYPERLINK("https://12go.asia/en/travel/ernakulam/margao", "12Go Link")</f>
        <v>12Go Link</v>
      </c>
      <c r="E4757" s="3" t="s">
        <v>94</v>
      </c>
      <c r="K4757" s="5"/>
    </row>
    <row r="4758">
      <c r="A4758" s="3" t="s">
        <v>4158</v>
      </c>
      <c r="B4758" s="3" t="s">
        <v>4623</v>
      </c>
      <c r="C4758" s="3" t="s">
        <v>4624</v>
      </c>
      <c r="D4758" s="4" t="str">
        <f>HYPERLINK("https://12go.asia/en/travel/ernakulam/muniguda", "12Go Link")</f>
        <v>12Go Link</v>
      </c>
      <c r="E4758" s="3" t="s">
        <v>94</v>
      </c>
      <c r="K4758" s="5"/>
    </row>
    <row r="4759">
      <c r="A4759" s="3" t="s">
        <v>4158</v>
      </c>
      <c r="B4759" s="3" t="s">
        <v>3786</v>
      </c>
      <c r="C4759" s="3" t="s">
        <v>4625</v>
      </c>
      <c r="D4759" s="4" t="str">
        <f>HYPERLINK("https://12go.asia/en/travel/ernakulam/nagapattinam", "12Go Link")</f>
        <v>12Go Link</v>
      </c>
      <c r="E4759" s="3" t="s">
        <v>94</v>
      </c>
      <c r="K4759" s="5"/>
    </row>
    <row r="4760">
      <c r="A4760" s="3" t="s">
        <v>4158</v>
      </c>
      <c r="B4760" s="3" t="s">
        <v>4407</v>
      </c>
      <c r="C4760" s="3" t="s">
        <v>4626</v>
      </c>
      <c r="D4760" s="4" t="str">
        <f>HYPERLINK("https://12go.asia/en/travel/ernakulam/nashik", "12Go Link")</f>
        <v>12Go Link</v>
      </c>
      <c r="E4760" s="3" t="s">
        <v>94</v>
      </c>
      <c r="K4760" s="5"/>
    </row>
    <row r="4761">
      <c r="A4761" s="3" t="s">
        <v>4158</v>
      </c>
      <c r="B4761" s="3" t="s">
        <v>3970</v>
      </c>
      <c r="C4761" s="3" t="s">
        <v>4627</v>
      </c>
      <c r="D4761" s="4" t="str">
        <f>HYPERLINK("https://12go.asia/en/travel/ernakulam/navi-mumbai", "12Go Link")</f>
        <v>12Go Link</v>
      </c>
      <c r="E4761" s="3" t="s">
        <v>94</v>
      </c>
      <c r="K4761" s="5"/>
    </row>
    <row r="4762">
      <c r="A4762" s="3" t="s">
        <v>4158</v>
      </c>
      <c r="B4762" s="3" t="s">
        <v>4628</v>
      </c>
      <c r="C4762" s="3" t="s">
        <v>4629</v>
      </c>
      <c r="D4762" s="4" t="str">
        <f>HYPERLINK("https://12go.asia/en/travel/ernakulam/pattambi", "12Go Link")</f>
        <v>12Go Link</v>
      </c>
      <c r="E4762" s="3" t="s">
        <v>94</v>
      </c>
      <c r="K4762" s="5"/>
    </row>
    <row r="4763">
      <c r="A4763" s="3" t="s">
        <v>4158</v>
      </c>
      <c r="B4763" s="3" t="s">
        <v>3798</v>
      </c>
      <c r="C4763" s="3" t="s">
        <v>4630</v>
      </c>
      <c r="D4763" s="4" t="str">
        <f>HYPERLINK("https://12go.asia/en/travel/ernakulam/siliguri", "12Go Link")</f>
        <v>12Go Link</v>
      </c>
      <c r="E4763" s="3" t="s">
        <v>94</v>
      </c>
      <c r="K4763" s="5"/>
    </row>
    <row r="4764">
      <c r="A4764" s="3" t="s">
        <v>4158</v>
      </c>
      <c r="B4764" s="3" t="s">
        <v>4631</v>
      </c>
      <c r="C4764" s="3" t="s">
        <v>4632</v>
      </c>
      <c r="D4764" s="4" t="str">
        <f>HYPERLINK("https://12go.asia/en/travel/ernakulam/solapur", "12Go Link")</f>
        <v>12Go Link</v>
      </c>
      <c r="E4764" s="3" t="s">
        <v>94</v>
      </c>
      <c r="K4764" s="5"/>
    </row>
    <row r="4765">
      <c r="A4765" s="3" t="s">
        <v>4158</v>
      </c>
      <c r="B4765" s="3" t="s">
        <v>3769</v>
      </c>
      <c r="C4765" s="3" t="s">
        <v>4633</v>
      </c>
      <c r="D4765" s="4" t="str">
        <f>HYPERLINK("https://12go.asia/en/travel/ernakulam/srirangam", "12Go Link")</f>
        <v>12Go Link</v>
      </c>
      <c r="E4765" s="3" t="s">
        <v>94</v>
      </c>
      <c r="K4765" s="5"/>
    </row>
    <row r="4766">
      <c r="A4766" s="3" t="s">
        <v>4158</v>
      </c>
      <c r="B4766" s="3" t="s">
        <v>4317</v>
      </c>
      <c r="C4766" s="3" t="s">
        <v>4634</v>
      </c>
      <c r="D4766" s="4" t="str">
        <f>HYPERLINK("https://12go.asia/en/travel/ernakulam/tenkasi", "12Go Link")</f>
        <v>12Go Link</v>
      </c>
      <c r="E4766" s="3" t="s">
        <v>94</v>
      </c>
      <c r="K4766" s="5"/>
    </row>
    <row r="4767">
      <c r="A4767" s="3" t="s">
        <v>4158</v>
      </c>
      <c r="B4767" s="3" t="s">
        <v>4635</v>
      </c>
      <c r="C4767" s="3" t="s">
        <v>4636</v>
      </c>
      <c r="D4767" s="4" t="str">
        <f>HYPERLINK("https://12go.asia/en/travel/ernakulam/tirunelveli", "12Go Link")</f>
        <v>12Go Link</v>
      </c>
      <c r="E4767" s="3" t="s">
        <v>94</v>
      </c>
      <c r="K4767" s="5"/>
    </row>
    <row r="4768">
      <c r="A4768" s="3" t="s">
        <v>4637</v>
      </c>
      <c r="B4768" s="3" t="s">
        <v>148</v>
      </c>
      <c r="C4768" s="3" t="s">
        <v>4638</v>
      </c>
      <c r="D4768" s="4" t="str">
        <f>HYPERLINK("https://12go.asia/en/travel/erode/broadmeadow", "12Go Link")</f>
        <v>12Go Link</v>
      </c>
      <c r="E4768" s="3" t="s">
        <v>94</v>
      </c>
      <c r="K4768" s="5"/>
    </row>
    <row r="4769">
      <c r="A4769" s="3" t="s">
        <v>4637</v>
      </c>
      <c r="B4769" s="3" t="s">
        <v>148</v>
      </c>
      <c r="C4769" s="3" t="s">
        <v>4639</v>
      </c>
      <c r="D4769" s="4" t="str">
        <f>HYPERLINK("https://12go.asia/en/travel/erode/newcastle-new-south-wales", "12Go Link")</f>
        <v>12Go Link</v>
      </c>
      <c r="E4769" s="3" t="s">
        <v>94</v>
      </c>
      <c r="K4769" s="5"/>
    </row>
    <row r="4770">
      <c r="A4770" s="3" t="s">
        <v>4637</v>
      </c>
      <c r="B4770" s="3" t="s">
        <v>4618</v>
      </c>
      <c r="C4770" s="3" t="s">
        <v>4640</v>
      </c>
      <c r="D4770" s="4" t="str">
        <f>HYPERLINK("https://12go.asia/en/travel/erode/karaikal", "12Go Link")</f>
        <v>12Go Link</v>
      </c>
      <c r="E4770" s="3" t="s">
        <v>94</v>
      </c>
      <c r="K4770" s="5"/>
    </row>
    <row r="4771">
      <c r="A4771" s="3" t="s">
        <v>4637</v>
      </c>
      <c r="B4771" s="3" t="s">
        <v>3728</v>
      </c>
      <c r="C4771" s="3" t="s">
        <v>4641</v>
      </c>
      <c r="D4771" s="4" t="str">
        <f>HYPERLINK("https://12go.asia/en/travel/erode/katpadi", "12Go Link")</f>
        <v>12Go Link</v>
      </c>
      <c r="E4771" s="3" t="s">
        <v>94</v>
      </c>
      <c r="K4771" s="5"/>
    </row>
    <row r="4772">
      <c r="A4772" s="3" t="s">
        <v>4637</v>
      </c>
      <c r="B4772" s="3" t="s">
        <v>3728</v>
      </c>
      <c r="C4772" s="3" t="s">
        <v>4642</v>
      </c>
      <c r="D4772" s="4" t="str">
        <f>HYPERLINK("https://12go.asia/en/travel/erode/katpadi-junction", "12Go Link")</f>
        <v>12Go Link</v>
      </c>
      <c r="E4772" s="3" t="s">
        <v>94</v>
      </c>
      <c r="K4772" s="5"/>
    </row>
    <row r="4773">
      <c r="A4773" s="3" t="s">
        <v>4637</v>
      </c>
      <c r="B4773" s="3" t="s">
        <v>4643</v>
      </c>
      <c r="C4773" s="3" t="s">
        <v>4644</v>
      </c>
      <c r="D4773" s="4" t="str">
        <f>HYPERLINK("https://12go.asia/en/travel/erode/kovilpatti", "12Go Link")</f>
        <v>12Go Link</v>
      </c>
      <c r="E4773" s="3" t="s">
        <v>94</v>
      </c>
      <c r="K4773" s="5"/>
    </row>
    <row r="4774">
      <c r="A4774" s="3" t="s">
        <v>4637</v>
      </c>
      <c r="B4774" s="3" t="s">
        <v>163</v>
      </c>
      <c r="C4774" s="3" t="s">
        <v>4645</v>
      </c>
      <c r="D4774" s="4" t="str">
        <f>HYPERLINK("https://12go.asia/en/travel/erode/maharashtra", "12Go Link")</f>
        <v>12Go Link</v>
      </c>
      <c r="E4774" s="3" t="s">
        <v>94</v>
      </c>
      <c r="K4774" s="5"/>
    </row>
    <row r="4775">
      <c r="A4775" s="3" t="s">
        <v>4637</v>
      </c>
      <c r="B4775" s="3" t="s">
        <v>3644</v>
      </c>
      <c r="C4775" s="3" t="s">
        <v>4646</v>
      </c>
      <c r="D4775" s="4" t="str">
        <f>HYPERLINK("https://12go.asia/en/travel/erode/mangalore", "12Go Link")</f>
        <v>12Go Link</v>
      </c>
      <c r="E4775" s="3" t="s">
        <v>94</v>
      </c>
      <c r="K4775" s="5"/>
    </row>
    <row r="4776">
      <c r="A4776" s="3" t="s">
        <v>4637</v>
      </c>
      <c r="B4776" s="3" t="s">
        <v>3644</v>
      </c>
      <c r="C4776" s="3" t="s">
        <v>4647</v>
      </c>
      <c r="D4776" s="4" t="str">
        <f>HYPERLINK("https://12go.asia/en/travel/erode/mangalore-central", "12Go Link")</f>
        <v>12Go Link</v>
      </c>
      <c r="E4776" s="3" t="s">
        <v>94</v>
      </c>
      <c r="K4776" s="5"/>
    </row>
    <row r="4777">
      <c r="A4777" s="3" t="s">
        <v>4637</v>
      </c>
      <c r="B4777" s="3" t="s">
        <v>3690</v>
      </c>
      <c r="C4777" s="3" t="s">
        <v>4648</v>
      </c>
      <c r="D4777" s="4" t="str">
        <f>HYPERLINK("https://12go.asia/en/travel/erode/lokmanya-tilak-term", "12Go Link")</f>
        <v>12Go Link</v>
      </c>
      <c r="E4777" s="3" t="s">
        <v>94</v>
      </c>
      <c r="K4777" s="5"/>
    </row>
    <row r="4778">
      <c r="A4778" s="3" t="s">
        <v>4637</v>
      </c>
      <c r="B4778" s="3" t="s">
        <v>3773</v>
      </c>
      <c r="C4778" s="3" t="s">
        <v>4649</v>
      </c>
      <c r="D4778" s="4" t="str">
        <f>HYPERLINK("https://12go.asia/en/travel/erode/tambaram", "12Go Link")</f>
        <v>12Go Link</v>
      </c>
      <c r="E4778" s="3" t="s">
        <v>94</v>
      </c>
      <c r="K4778" s="5"/>
    </row>
    <row r="4779">
      <c r="A4779" s="3" t="s">
        <v>4637</v>
      </c>
      <c r="B4779" s="3" t="s">
        <v>4650</v>
      </c>
      <c r="C4779" s="3" t="s">
        <v>4651</v>
      </c>
      <c r="D4779" s="4" t="str">
        <f>HYPERLINK("https://12go.asia/en/travel/erode/villuparam-junction", "12Go Link")</f>
        <v>12Go Link</v>
      </c>
      <c r="E4779" s="3" t="s">
        <v>94</v>
      </c>
      <c r="K4779" s="5"/>
    </row>
    <row r="4780">
      <c r="A4780" s="3" t="s">
        <v>4637</v>
      </c>
      <c r="B4780" s="3" t="s">
        <v>4650</v>
      </c>
      <c r="C4780" s="3" t="s">
        <v>4652</v>
      </c>
      <c r="D4780" s="4" t="str">
        <f>HYPERLINK("https://12go.asia/en/travel/erode/villupuram", "12Go Link")</f>
        <v>12Go Link</v>
      </c>
      <c r="E4780" s="3" t="s">
        <v>94</v>
      </c>
      <c r="K4780" s="5"/>
    </row>
    <row r="4781">
      <c r="A4781" s="3" t="s">
        <v>4637</v>
      </c>
      <c r="B4781" s="3" t="s">
        <v>4653</v>
      </c>
      <c r="C4781" s="3" t="s">
        <v>4654</v>
      </c>
      <c r="D4781" s="4" t="str">
        <f>HYPERLINK("https://12go.asia/en/travel/erode/virudhunagar", "12Go Link")</f>
        <v>12Go Link</v>
      </c>
      <c r="E4781" s="3" t="s">
        <v>94</v>
      </c>
      <c r="K4781" s="5"/>
    </row>
    <row r="4782">
      <c r="A4782" s="3" t="s">
        <v>4637</v>
      </c>
      <c r="B4782" s="3" t="s">
        <v>4653</v>
      </c>
      <c r="C4782" s="3" t="s">
        <v>4655</v>
      </c>
      <c r="D4782" s="4" t="str">
        <f>HYPERLINK("https://12go.asia/en/travel/erode/virudunagar-junction", "12Go Link")</f>
        <v>12Go Link</v>
      </c>
      <c r="E4782" s="3" t="s">
        <v>94</v>
      </c>
      <c r="K4782" s="5"/>
    </row>
    <row r="4783">
      <c r="A4783" s="3" t="s">
        <v>3649</v>
      </c>
      <c r="B4783" s="3" t="s">
        <v>3701</v>
      </c>
      <c r="C4783" s="3" t="s">
        <v>4656</v>
      </c>
      <c r="D4783" s="4" t="str">
        <f>HYPERLINK("https://12go.asia/en/travel/ayodhya-cantt/howrah", "12Go Link")</f>
        <v>12Go Link</v>
      </c>
      <c r="E4783" s="3" t="s">
        <v>94</v>
      </c>
      <c r="K4783" s="5"/>
    </row>
    <row r="4784">
      <c r="A4784" s="3" t="s">
        <v>3649</v>
      </c>
      <c r="B4784" s="3" t="s">
        <v>3776</v>
      </c>
      <c r="C4784" s="3" t="s">
        <v>4657</v>
      </c>
      <c r="D4784" s="4" t="str">
        <f>HYPERLINK("https://12go.asia/en/travel/ayodhya-cantt/ujjain", "12Go Link")</f>
        <v>12Go Link</v>
      </c>
      <c r="E4784" s="3" t="s">
        <v>94</v>
      </c>
      <c r="K4784" s="5"/>
    </row>
    <row r="4785">
      <c r="A4785" s="3" t="s">
        <v>4658</v>
      </c>
      <c r="B4785" s="3" t="s">
        <v>4578</v>
      </c>
      <c r="C4785" s="3" t="s">
        <v>4659</v>
      </c>
      <c r="D4785" s="4" t="str">
        <f>HYPERLINK("https://12go.asia/en/travel/faridabad/ludhiana", "12Go Link")</f>
        <v>12Go Link</v>
      </c>
      <c r="E4785" s="3" t="s">
        <v>94</v>
      </c>
      <c r="K4785" s="5"/>
    </row>
    <row r="4786">
      <c r="A4786" s="3" t="s">
        <v>4658</v>
      </c>
      <c r="B4786" s="3" t="s">
        <v>4660</v>
      </c>
      <c r="C4786" s="3" t="s">
        <v>4661</v>
      </c>
      <c r="D4786" s="4" t="str">
        <f>HYPERLINK("https://12go.asia/en/travel/faridabad/pathankot", "12Go Link")</f>
        <v>12Go Link</v>
      </c>
      <c r="E4786" s="3" t="s">
        <v>94</v>
      </c>
      <c r="K4786" s="5"/>
    </row>
    <row r="4787">
      <c r="A4787" s="3" t="s">
        <v>4658</v>
      </c>
      <c r="B4787" s="3" t="s">
        <v>4660</v>
      </c>
      <c r="C4787" s="3" t="s">
        <v>4662</v>
      </c>
      <c r="D4787" s="4" t="str">
        <f>HYPERLINK("https://12go.asia/en/travel/faridabad/pathankot-cantt", "12Go Link")</f>
        <v>12Go Link</v>
      </c>
      <c r="E4787" s="3" t="s">
        <v>94</v>
      </c>
      <c r="K4787" s="5"/>
    </row>
    <row r="4788">
      <c r="A4788" s="3" t="s">
        <v>3883</v>
      </c>
      <c r="B4788" s="3" t="s">
        <v>3847</v>
      </c>
      <c r="C4788" s="3" t="s">
        <v>4663</v>
      </c>
      <c r="D4788" s="4" t="str">
        <f>HYPERLINK("https://12go.asia/en/travel/gadag-junction/ksr-bangalore", "12Go Link")</f>
        <v>12Go Link</v>
      </c>
      <c r="E4788" s="3" t="s">
        <v>94</v>
      </c>
      <c r="K4788" s="5"/>
    </row>
    <row r="4789">
      <c r="A4789" s="3" t="s">
        <v>3883</v>
      </c>
      <c r="B4789" s="3" t="s">
        <v>3847</v>
      </c>
      <c r="C4789" s="3" t="s">
        <v>4664</v>
      </c>
      <c r="D4789" s="4" t="str">
        <f>HYPERLINK("https://12go.asia/en/travel/gadag-junction/new-bengaluru-terminal", "12Go Link")</f>
        <v>12Go Link</v>
      </c>
      <c r="E4789" s="3" t="s">
        <v>94</v>
      </c>
      <c r="K4789" s="5"/>
    </row>
    <row r="4790">
      <c r="A4790" s="3" t="s">
        <v>3883</v>
      </c>
      <c r="B4790" s="3" t="s">
        <v>3847</v>
      </c>
      <c r="C4790" s="3" t="s">
        <v>4665</v>
      </c>
      <c r="D4790" s="4" t="str">
        <f>HYPERLINK("https://12go.asia/en/travel/gadag-junction/yesvantpur", "12Go Link")</f>
        <v>12Go Link</v>
      </c>
      <c r="E4790" s="3" t="s">
        <v>94</v>
      </c>
      <c r="K4790" s="5"/>
    </row>
    <row r="4791">
      <c r="A4791" s="3" t="s">
        <v>3883</v>
      </c>
      <c r="B4791" s="3" t="s">
        <v>3847</v>
      </c>
      <c r="C4791" s="3" t="s">
        <v>4666</v>
      </c>
      <c r="D4791" s="4" t="str">
        <f>HYPERLINK("https://12go.asia/en/travel/gadag/bangalore", "12Go Link")</f>
        <v>12Go Link</v>
      </c>
      <c r="E4791" s="3" t="s">
        <v>94</v>
      </c>
      <c r="K4791" s="5"/>
    </row>
    <row r="4792">
      <c r="A4792" s="3" t="s">
        <v>4293</v>
      </c>
      <c r="B4792" s="3" t="s">
        <v>3647</v>
      </c>
      <c r="C4792" s="3" t="s">
        <v>4667</v>
      </c>
      <c r="D4792" s="4" t="str">
        <f>HYPERLINK("https://12go.asia/en/travel/ganaur/delhi", "12Go Link")</f>
        <v>12Go Link</v>
      </c>
      <c r="E4792" s="3" t="s">
        <v>94</v>
      </c>
      <c r="K4792" s="5"/>
    </row>
    <row r="4793">
      <c r="A4793" s="3" t="s">
        <v>4293</v>
      </c>
      <c r="B4793" s="3" t="s">
        <v>3842</v>
      </c>
      <c r="C4793" s="3" t="s">
        <v>4668</v>
      </c>
      <c r="D4793" s="4" t="str">
        <f>HYPERLINK("https://12go.asia/en/travel/ganaur/new-delhi", "12Go Link")</f>
        <v>12Go Link</v>
      </c>
      <c r="E4793" s="3" t="s">
        <v>94</v>
      </c>
      <c r="K4793" s="5"/>
    </row>
    <row r="4794">
      <c r="A4794" s="3" t="s">
        <v>4293</v>
      </c>
      <c r="B4794" s="3" t="s">
        <v>189</v>
      </c>
      <c r="C4794" s="3" t="s">
        <v>4669</v>
      </c>
      <c r="D4794" s="4" t="str">
        <f>HYPERLINK("https://12go.asia/en/travel/ganaur/vrindavan", "12Go Link")</f>
        <v>12Go Link</v>
      </c>
      <c r="E4794" s="3" t="s">
        <v>94</v>
      </c>
      <c r="K4794" s="5"/>
    </row>
    <row r="4795">
      <c r="A4795" s="3" t="s">
        <v>4015</v>
      </c>
      <c r="B4795" s="3" t="s">
        <v>3647</v>
      </c>
      <c r="C4795" s="3" t="s">
        <v>4670</v>
      </c>
      <c r="D4795" s="4" t="str">
        <f>HYPERLINK("https://12go.asia/en/travel/gandhidham-bg/delhi", "12Go Link")</f>
        <v>12Go Link</v>
      </c>
      <c r="E4795" s="3" t="s">
        <v>94</v>
      </c>
      <c r="K4795" s="5"/>
    </row>
    <row r="4796">
      <c r="A4796" s="3" t="s">
        <v>4015</v>
      </c>
      <c r="B4796" s="3" t="s">
        <v>4671</v>
      </c>
      <c r="C4796" s="3" t="s">
        <v>4672</v>
      </c>
      <c r="D4796" s="4" t="str">
        <f>HYPERLINK("https://12go.asia/en/travel/gandhidham-bg/gandhinagar-capital", "12Go Link")</f>
        <v>12Go Link</v>
      </c>
      <c r="E4796" s="3" t="s">
        <v>94</v>
      </c>
      <c r="K4796" s="5"/>
    </row>
    <row r="4797">
      <c r="A4797" s="3" t="s">
        <v>4015</v>
      </c>
      <c r="B4797" s="3" t="s">
        <v>3842</v>
      </c>
      <c r="C4797" s="3" t="s">
        <v>4673</v>
      </c>
      <c r="D4797" s="4" t="str">
        <f>HYPERLINK("https://12go.asia/en/travel/gandhidham/new-delhi", "12Go Link")</f>
        <v>12Go Link</v>
      </c>
      <c r="E4797" s="3" t="s">
        <v>94</v>
      </c>
      <c r="K4797" s="5"/>
    </row>
    <row r="4798">
      <c r="A4798" s="3" t="s">
        <v>4015</v>
      </c>
      <c r="B4798" s="3" t="s">
        <v>180</v>
      </c>
      <c r="C4798" s="3" t="s">
        <v>4674</v>
      </c>
      <c r="D4798" s="4" t="str">
        <f>HYPERLINK("https://12go.asia/en/travel/gandhidham-bg/surat", "12Go Link")</f>
        <v>12Go Link</v>
      </c>
      <c r="E4798" s="3" t="s">
        <v>94</v>
      </c>
      <c r="K4798" s="5"/>
    </row>
    <row r="4799">
      <c r="A4799" s="3" t="s">
        <v>4015</v>
      </c>
      <c r="B4799" s="3" t="s">
        <v>180</v>
      </c>
      <c r="C4799" s="3" t="s">
        <v>4675</v>
      </c>
      <c r="D4799" s="4" t="str">
        <f>HYPERLINK("https://12go.asia/en/travel/gandhidham/surat", "12Go Link")</f>
        <v>12Go Link</v>
      </c>
      <c r="E4799" s="3" t="s">
        <v>94</v>
      </c>
      <c r="K4799" s="5"/>
    </row>
    <row r="4800">
      <c r="A4800" s="3" t="s">
        <v>4671</v>
      </c>
      <c r="B4800" s="3" t="s">
        <v>3663</v>
      </c>
      <c r="C4800" s="3" t="s">
        <v>4676</v>
      </c>
      <c r="D4800" s="4" t="str">
        <f>HYPERLINK("https://12go.asia/en/travel/gandhinagar/jammu", "12Go Link")</f>
        <v>12Go Link</v>
      </c>
      <c r="E4800" s="3" t="s">
        <v>94</v>
      </c>
      <c r="K4800" s="5"/>
    </row>
    <row r="4801">
      <c r="A4801" s="3" t="s">
        <v>4671</v>
      </c>
      <c r="B4801" s="3" t="s">
        <v>4003</v>
      </c>
      <c r="C4801" s="3" t="s">
        <v>4677</v>
      </c>
      <c r="D4801" s="4" t="str">
        <f>HYPERLINK("https://12go.asia/en/travel/gandhinagar/jammu-and-kashmir", "12Go Link")</f>
        <v>12Go Link</v>
      </c>
      <c r="E4801" s="3" t="s">
        <v>94</v>
      </c>
      <c r="K4801" s="5"/>
    </row>
    <row r="4802">
      <c r="A4802" s="3" t="s">
        <v>4671</v>
      </c>
      <c r="B4802" s="3" t="s">
        <v>4005</v>
      </c>
      <c r="C4802" s="3" t="s">
        <v>4678</v>
      </c>
      <c r="D4802" s="4" t="str">
        <f>HYPERLINK("https://12go.asia/en/travel/gandhinagar/jammu-kashmir", "12Go Link")</f>
        <v>12Go Link</v>
      </c>
      <c r="E4802" s="3" t="s">
        <v>94</v>
      </c>
      <c r="K4802" s="5"/>
    </row>
    <row r="4803">
      <c r="A4803" s="3" t="s">
        <v>4679</v>
      </c>
      <c r="B4803" s="3" t="s">
        <v>3842</v>
      </c>
      <c r="C4803" s="3" t="s">
        <v>4680</v>
      </c>
      <c r="D4803" s="4" t="str">
        <f>HYPERLINK("https://12go.asia/en/travel/garwa-road/new-delhi", "12Go Link")</f>
        <v>12Go Link</v>
      </c>
      <c r="E4803" s="3" t="s">
        <v>94</v>
      </c>
      <c r="K4803" s="5"/>
    </row>
    <row r="4804">
      <c r="A4804" s="3" t="s">
        <v>4681</v>
      </c>
      <c r="B4804" s="3" t="s">
        <v>4682</v>
      </c>
      <c r="C4804" s="3" t="s">
        <v>4683</v>
      </c>
      <c r="D4804" s="4" t="str">
        <f>HYPERLINK("https://12go.asia/en/travel/gaya/ghaziabad", "12Go Link")</f>
        <v>12Go Link</v>
      </c>
      <c r="E4804" s="3" t="s">
        <v>94</v>
      </c>
      <c r="K4804" s="5"/>
    </row>
    <row r="4805">
      <c r="A4805" s="3" t="s">
        <v>4681</v>
      </c>
      <c r="B4805" s="3" t="s">
        <v>4684</v>
      </c>
      <c r="C4805" s="3" t="s">
        <v>4685</v>
      </c>
      <c r="D4805" s="4" t="str">
        <f>HYPERLINK("https://12go.asia/en/travel/gaya-jn/malda-town", "12Go Link")</f>
        <v>12Go Link</v>
      </c>
      <c r="E4805" s="3" t="s">
        <v>94</v>
      </c>
      <c r="K4805" s="5"/>
    </row>
    <row r="4806">
      <c r="A4806" s="3" t="s">
        <v>4681</v>
      </c>
      <c r="B4806" s="3" t="s">
        <v>4684</v>
      </c>
      <c r="C4806" s="3" t="s">
        <v>4686</v>
      </c>
      <c r="D4806" s="4" t="str">
        <f>HYPERLINK("https://12go.asia/en/travel/gaya/malda", "12Go Link")</f>
        <v>12Go Link</v>
      </c>
      <c r="E4806" s="3" t="s">
        <v>94</v>
      </c>
      <c r="K4806" s="5"/>
    </row>
    <row r="4807">
      <c r="A4807" s="3" t="s">
        <v>4681</v>
      </c>
      <c r="B4807" s="3" t="s">
        <v>4053</v>
      </c>
      <c r="C4807" s="3" t="s">
        <v>4687</v>
      </c>
      <c r="D4807" s="4" t="str">
        <f>HYPERLINK("https://12go.asia/en/travel/gaya/odisha", "12Go Link")</f>
        <v>12Go Link</v>
      </c>
      <c r="E4807" s="3" t="s">
        <v>94</v>
      </c>
      <c r="K4807" s="5"/>
    </row>
    <row r="4808">
      <c r="A4808" s="3" t="s">
        <v>4681</v>
      </c>
      <c r="B4808" s="3" t="s">
        <v>3633</v>
      </c>
      <c r="C4808" s="3" t="s">
        <v>4688</v>
      </c>
      <c r="D4808" s="4" t="str">
        <f>HYPERLINK("https://12go.asia/en/travel/gaya/rajasthan", "12Go Link")</f>
        <v>12Go Link</v>
      </c>
      <c r="E4808" s="3" t="s">
        <v>94</v>
      </c>
      <c r="K4808" s="5"/>
    </row>
    <row r="4809">
      <c r="A4809" s="3" t="s">
        <v>4682</v>
      </c>
      <c r="B4809" s="3" t="s">
        <v>4049</v>
      </c>
      <c r="C4809" s="3" t="s">
        <v>4689</v>
      </c>
      <c r="D4809" s="4" t="str">
        <f>HYPERLINK("https://12go.asia/en/travel/ghaziabad/bhubaneswar", "12Go Link")</f>
        <v>12Go Link</v>
      </c>
      <c r="E4809" s="3" t="s">
        <v>94</v>
      </c>
      <c r="K4809" s="5"/>
    </row>
    <row r="4810">
      <c r="A4810" s="3" t="s">
        <v>4682</v>
      </c>
      <c r="B4810" s="3" t="s">
        <v>4690</v>
      </c>
      <c r="C4810" s="3" t="s">
        <v>4691</v>
      </c>
      <c r="D4810" s="4" t="str">
        <f>HYPERLINK("https://12go.asia/en/travel/ghaziabad/kurukshetra", "12Go Link")</f>
        <v>12Go Link</v>
      </c>
      <c r="E4810" s="3" t="s">
        <v>94</v>
      </c>
      <c r="K4810" s="5"/>
    </row>
    <row r="4811">
      <c r="A4811" s="3" t="s">
        <v>4682</v>
      </c>
      <c r="B4811" s="3" t="s">
        <v>3914</v>
      </c>
      <c r="C4811" s="3" t="s">
        <v>4692</v>
      </c>
      <c r="D4811" s="4" t="str">
        <f>HYPERLINK("https://12go.asia/en/travel/ghaziabad/nanded", "12Go Link")</f>
        <v>12Go Link</v>
      </c>
      <c r="E4811" s="3" t="s">
        <v>94</v>
      </c>
      <c r="K4811" s="5"/>
    </row>
    <row r="4812">
      <c r="A4812" s="3" t="s">
        <v>4682</v>
      </c>
      <c r="B4812" s="3" t="s">
        <v>4053</v>
      </c>
      <c r="C4812" s="3" t="s">
        <v>4693</v>
      </c>
      <c r="D4812" s="4" t="str">
        <f>HYPERLINK("https://12go.asia/en/travel/ghaziabad/odisha", "12Go Link")</f>
        <v>12Go Link</v>
      </c>
      <c r="E4812" s="3" t="s">
        <v>94</v>
      </c>
      <c r="K4812" s="5"/>
    </row>
    <row r="4813">
      <c r="A4813" s="3" t="s">
        <v>4694</v>
      </c>
      <c r="B4813" s="3" t="s">
        <v>3704</v>
      </c>
      <c r="C4813" s="3" t="s">
        <v>4695</v>
      </c>
      <c r="D4813" s="4" t="str">
        <f>HYPERLINK("https://12go.asia/en/travel/ghazipur-city/kolkata", "12Go Link")</f>
        <v>12Go Link</v>
      </c>
      <c r="E4813" s="3" t="s">
        <v>94</v>
      </c>
      <c r="K4813" s="5"/>
    </row>
    <row r="4814">
      <c r="A4814" s="3" t="s">
        <v>4694</v>
      </c>
      <c r="B4814" s="3" t="s">
        <v>3704</v>
      </c>
      <c r="C4814" s="3" t="s">
        <v>4696</v>
      </c>
      <c r="D4814" s="4" t="str">
        <f>HYPERLINK("https://12go.asia/en/travel/ghazipur/kolkata", "12Go Link")</f>
        <v>12Go Link</v>
      </c>
      <c r="E4814" s="3" t="s">
        <v>94</v>
      </c>
      <c r="K4814" s="5"/>
    </row>
    <row r="4815">
      <c r="A4815" s="3" t="s">
        <v>3890</v>
      </c>
      <c r="B4815" s="3" t="s">
        <v>3847</v>
      </c>
      <c r="C4815" s="3" t="s">
        <v>4697</v>
      </c>
      <c r="D4815" s="4" t="str">
        <f>HYPERLINK("https://12go.asia/en/travel/madgaon/new-bengaluru-terminal", "12Go Link")</f>
        <v>12Go Link</v>
      </c>
      <c r="E4815" s="3" t="s">
        <v>94</v>
      </c>
      <c r="K4815" s="5"/>
    </row>
    <row r="4816">
      <c r="A4816" s="3" t="s">
        <v>3890</v>
      </c>
      <c r="B4816" s="3" t="s">
        <v>3847</v>
      </c>
      <c r="C4816" s="3" t="s">
        <v>4698</v>
      </c>
      <c r="D4816" s="4" t="str">
        <f>HYPERLINK("https://12go.asia/en/travel/vasco-da-gama/new-bengaluru-terminal", "12Go Link")</f>
        <v>12Go Link</v>
      </c>
      <c r="E4816" s="3" t="s">
        <v>94</v>
      </c>
      <c r="K4816" s="5"/>
    </row>
    <row r="4817">
      <c r="A4817" s="3" t="s">
        <v>3890</v>
      </c>
      <c r="B4817" s="3" t="s">
        <v>4113</v>
      </c>
      <c r="C4817" s="3" t="s">
        <v>4699</v>
      </c>
      <c r="D4817" s="4" t="str">
        <f>HYPERLINK("https://12go.asia/en/travel/thivim/bandra-terminus", "12Go Link")</f>
        <v>12Go Link</v>
      </c>
      <c r="E4817" s="3" t="s">
        <v>94</v>
      </c>
      <c r="K4817" s="5"/>
    </row>
    <row r="4818">
      <c r="A4818" s="3" t="s">
        <v>3890</v>
      </c>
      <c r="B4818" s="3" t="s">
        <v>4700</v>
      </c>
      <c r="C4818" s="3" t="s">
        <v>4701</v>
      </c>
      <c r="D4818" s="4" t="str">
        <f>HYPERLINK("https://12go.asia/en/travel/goa/gokak", "12Go Link")</f>
        <v>12Go Link</v>
      </c>
      <c r="E4818" s="3" t="s">
        <v>94</v>
      </c>
      <c r="K4818" s="5"/>
    </row>
    <row r="4819">
      <c r="A4819" s="3" t="s">
        <v>3890</v>
      </c>
      <c r="B4819" s="3" t="s">
        <v>4702</v>
      </c>
      <c r="C4819" s="3" t="s">
        <v>4703</v>
      </c>
      <c r="D4819" s="4" t="str">
        <f>HYPERLINK("https://12go.asia/en/travel/goa/kadapa", "12Go Link")</f>
        <v>12Go Link</v>
      </c>
      <c r="E4819" s="3" t="s">
        <v>94</v>
      </c>
      <c r="K4819" s="5"/>
    </row>
    <row r="4820">
      <c r="A4820" s="3" t="s">
        <v>3890</v>
      </c>
      <c r="B4820" s="3" t="s">
        <v>4702</v>
      </c>
      <c r="C4820" s="3" t="s">
        <v>4704</v>
      </c>
      <c r="D4820" s="4" t="str">
        <f>HYPERLINK("https://12go.asia/en/travel/vasco-da-gama/cuddapah", "12Go Link")</f>
        <v>12Go Link</v>
      </c>
      <c r="E4820" s="3" t="s">
        <v>94</v>
      </c>
      <c r="K4820" s="5"/>
    </row>
    <row r="4821">
      <c r="A4821" s="3" t="s">
        <v>3890</v>
      </c>
      <c r="B4821" s="3" t="s">
        <v>4172</v>
      </c>
      <c r="C4821" s="3" t="s">
        <v>4705</v>
      </c>
      <c r="D4821" s="4" t="str">
        <f>HYPERLINK("https://12go.asia/en/travel/vasco-da-gama/ghatprabha", "12Go Link")</f>
        <v>12Go Link</v>
      </c>
      <c r="E4821" s="3" t="s">
        <v>94</v>
      </c>
      <c r="K4821" s="5"/>
    </row>
    <row r="4822">
      <c r="A4822" s="3" t="s">
        <v>3890</v>
      </c>
      <c r="B4822" s="3" t="s">
        <v>4023</v>
      </c>
      <c r="C4822" s="3" t="s">
        <v>4706</v>
      </c>
      <c r="D4822" s="4" t="str">
        <f>HYPERLINK("https://12go.asia/en/travel/goa/ratlam", "12Go Link")</f>
        <v>12Go Link</v>
      </c>
      <c r="E4822" s="3" t="s">
        <v>94</v>
      </c>
      <c r="K4822" s="5"/>
    </row>
    <row r="4823">
      <c r="A4823" s="3" t="s">
        <v>3890</v>
      </c>
      <c r="B4823" s="3" t="s">
        <v>3582</v>
      </c>
      <c r="C4823" s="3" t="s">
        <v>4707</v>
      </c>
      <c r="D4823" s="4" t="str">
        <f>HYPERLINK("https://12go.asia/en/travel/vasco-da-gama/tirupati", "12Go Link")</f>
        <v>12Go Link</v>
      </c>
      <c r="E4823" s="3" t="s">
        <v>94</v>
      </c>
      <c r="K4823" s="5"/>
    </row>
    <row r="4824">
      <c r="A4824" s="3" t="s">
        <v>3890</v>
      </c>
      <c r="B4824" s="3" t="s">
        <v>4270</v>
      </c>
      <c r="C4824" s="3" t="s">
        <v>4708</v>
      </c>
      <c r="D4824" s="4" t="str">
        <f>HYPERLINK("https://12go.asia/en/travel/goa/velankanni", "12Go Link")</f>
        <v>12Go Link</v>
      </c>
      <c r="E4824" s="3" t="s">
        <v>94</v>
      </c>
      <c r="K4824" s="5"/>
    </row>
    <row r="4825">
      <c r="A4825" s="3" t="s">
        <v>4709</v>
      </c>
      <c r="B4825" s="3" t="s">
        <v>3890</v>
      </c>
      <c r="C4825" s="3" t="s">
        <v>4710</v>
      </c>
      <c r="D4825" s="4" t="str">
        <f>HYPERLINK("https://12go.asia/en/travel/gokarna-road/karmali", "12Go Link")</f>
        <v>12Go Link</v>
      </c>
      <c r="E4825" s="3" t="s">
        <v>94</v>
      </c>
      <c r="K4825" s="5"/>
    </row>
    <row r="4826">
      <c r="A4826" s="3" t="s">
        <v>4711</v>
      </c>
      <c r="B4826" s="3" t="s">
        <v>3994</v>
      </c>
      <c r="C4826" s="3" t="s">
        <v>4712</v>
      </c>
      <c r="D4826" s="4" t="str">
        <f>HYPERLINK("https://12go.asia/en/travel/gola-gokaranath/gomti-nagar-lucknow", "12Go Link")</f>
        <v>12Go Link</v>
      </c>
      <c r="E4826" s="3" t="s">
        <v>94</v>
      </c>
      <c r="K4826" s="5"/>
    </row>
    <row r="4827">
      <c r="A4827" s="3" t="s">
        <v>4711</v>
      </c>
      <c r="B4827" s="3" t="s">
        <v>3994</v>
      </c>
      <c r="C4827" s="3" t="s">
        <v>4713</v>
      </c>
      <c r="D4827" s="4" t="str">
        <f>HYPERLINK("https://12go.asia/en/travel/gola-gokarannath/lucknow", "12Go Link")</f>
        <v>12Go Link</v>
      </c>
      <c r="E4827" s="3" t="s">
        <v>94</v>
      </c>
      <c r="K4827" s="5"/>
    </row>
    <row r="4828">
      <c r="A4828" s="3" t="s">
        <v>4714</v>
      </c>
      <c r="B4828" s="3" t="s">
        <v>3800</v>
      </c>
      <c r="C4828" s="3" t="s">
        <v>4715</v>
      </c>
      <c r="D4828" s="4" t="str">
        <f>HYPERLINK("https://12go.asia/en/travel/golokganj/assam", "12Go Link")</f>
        <v>12Go Link</v>
      </c>
      <c r="E4828" s="3" t="s">
        <v>94</v>
      </c>
      <c r="K4828" s="5"/>
    </row>
    <row r="4829">
      <c r="A4829" s="3" t="s">
        <v>4714</v>
      </c>
      <c r="B4829" s="3" t="s">
        <v>3801</v>
      </c>
      <c r="C4829" s="3" t="s">
        <v>4716</v>
      </c>
      <c r="D4829" s="4" t="str">
        <f>HYPERLINK("https://12go.asia/en/travel/golakganj-junction/guwahati", "12Go Link")</f>
        <v>12Go Link</v>
      </c>
      <c r="E4829" s="3" t="s">
        <v>94</v>
      </c>
      <c r="K4829" s="5"/>
    </row>
    <row r="4830">
      <c r="A4830" s="3" t="s">
        <v>4714</v>
      </c>
      <c r="B4830" s="3" t="s">
        <v>3801</v>
      </c>
      <c r="C4830" s="3" t="s">
        <v>4717</v>
      </c>
      <c r="D4830" s="4" t="str">
        <f>HYPERLINK("https://12go.asia/en/travel/golakganj-junction/kamakhya", "12Go Link")</f>
        <v>12Go Link</v>
      </c>
      <c r="E4830" s="3" t="s">
        <v>94</v>
      </c>
      <c r="K4830" s="5"/>
    </row>
    <row r="4831">
      <c r="A4831" s="3" t="s">
        <v>4714</v>
      </c>
      <c r="B4831" s="3" t="s">
        <v>3801</v>
      </c>
      <c r="C4831" s="3" t="s">
        <v>4718</v>
      </c>
      <c r="D4831" s="4" t="str">
        <f>HYPERLINK("https://12go.asia/en/travel/golokganj/guwahati", "12Go Link")</f>
        <v>12Go Link</v>
      </c>
      <c r="E4831" s="3" t="s">
        <v>94</v>
      </c>
      <c r="K4831" s="5"/>
    </row>
    <row r="4832">
      <c r="A4832" s="3" t="s">
        <v>4719</v>
      </c>
      <c r="B4832" s="3" t="s">
        <v>4720</v>
      </c>
      <c r="C4832" s="3" t="s">
        <v>4721</v>
      </c>
      <c r="D4832" s="4" t="str">
        <f>HYPERLINK("https://12go.asia/en/travel/gonda-jn/bahraich", "12Go Link")</f>
        <v>12Go Link</v>
      </c>
      <c r="E4832" s="3" t="s">
        <v>94</v>
      </c>
      <c r="K4832" s="5"/>
    </row>
    <row r="4833">
      <c r="A4833" s="3" t="s">
        <v>4719</v>
      </c>
      <c r="B4833" s="3" t="s">
        <v>4720</v>
      </c>
      <c r="C4833" s="3" t="s">
        <v>4722</v>
      </c>
      <c r="D4833" s="4" t="str">
        <f>HYPERLINK("https://12go.asia/en/travel/gonda/bahraich", "12Go Link")</f>
        <v>12Go Link</v>
      </c>
      <c r="E4833" s="3" t="s">
        <v>94</v>
      </c>
      <c r="K4833" s="5"/>
    </row>
    <row r="4834">
      <c r="A4834" s="3" t="s">
        <v>4719</v>
      </c>
      <c r="B4834" s="3" t="s">
        <v>167</v>
      </c>
      <c r="C4834" s="3" t="s">
        <v>4723</v>
      </c>
      <c r="D4834" s="4" t="str">
        <f>HYPERLINK("https://12go.asia/en/travel/gonda-jn/mathura-jn", "12Go Link")</f>
        <v>12Go Link</v>
      </c>
      <c r="E4834" s="3" t="s">
        <v>94</v>
      </c>
      <c r="K4834" s="5"/>
    </row>
    <row r="4835">
      <c r="A4835" s="3" t="s">
        <v>4719</v>
      </c>
      <c r="B4835" s="3" t="s">
        <v>167</v>
      </c>
      <c r="C4835" s="3" t="s">
        <v>4724</v>
      </c>
      <c r="D4835" s="4" t="str">
        <f>HYPERLINK("https://12go.asia/en/travel/gonda/mathura", "12Go Link")</f>
        <v>12Go Link</v>
      </c>
      <c r="E4835" s="3" t="s">
        <v>94</v>
      </c>
      <c r="K4835" s="5"/>
    </row>
    <row r="4836">
      <c r="A4836" s="3" t="s">
        <v>4719</v>
      </c>
      <c r="B4836" s="3" t="s">
        <v>3970</v>
      </c>
      <c r="C4836" s="3" t="s">
        <v>4725</v>
      </c>
      <c r="D4836" s="4" t="str">
        <f>HYPERLINK("https://12go.asia/en/travel/gonda/navi-mumbai", "12Go Link")</f>
        <v>12Go Link</v>
      </c>
      <c r="E4836" s="3" t="s">
        <v>94</v>
      </c>
      <c r="K4836" s="5"/>
    </row>
    <row r="4837">
      <c r="A4837" s="3" t="s">
        <v>4719</v>
      </c>
      <c r="B4837" s="3" t="s">
        <v>189</v>
      </c>
      <c r="C4837" s="3" t="s">
        <v>4726</v>
      </c>
      <c r="D4837" s="4" t="str">
        <f>HYPERLINK("https://12go.asia/en/travel/gonda/vrindavan", "12Go Link")</f>
        <v>12Go Link</v>
      </c>
      <c r="E4837" s="3" t="s">
        <v>94</v>
      </c>
      <c r="K4837" s="5"/>
    </row>
    <row r="4838">
      <c r="A4838" s="3" t="s">
        <v>4727</v>
      </c>
      <c r="B4838" s="3" t="s">
        <v>3647</v>
      </c>
      <c r="C4838" s="3" t="s">
        <v>4728</v>
      </c>
      <c r="D4838" s="4" t="str">
        <f>HYPERLINK("https://12go.asia/en/travel/gondia-junction/hazrat-nizamuddin", "12Go Link")</f>
        <v>12Go Link</v>
      </c>
      <c r="E4838" s="3" t="s">
        <v>94</v>
      </c>
      <c r="K4838" s="5"/>
    </row>
    <row r="4839">
      <c r="A4839" s="3" t="s">
        <v>4727</v>
      </c>
      <c r="B4839" s="3" t="s">
        <v>3647</v>
      </c>
      <c r="C4839" s="3" t="s">
        <v>4729</v>
      </c>
      <c r="D4839" s="4" t="str">
        <f>HYPERLINK("https://12go.asia/en/travel/gondia/delhi", "12Go Link")</f>
        <v>12Go Link</v>
      </c>
      <c r="E4839" s="3" t="s">
        <v>94</v>
      </c>
      <c r="K4839" s="5"/>
    </row>
    <row r="4840">
      <c r="A4840" s="3" t="s">
        <v>4727</v>
      </c>
      <c r="B4840" s="3" t="s">
        <v>4225</v>
      </c>
      <c r="C4840" s="3" t="s">
        <v>4730</v>
      </c>
      <c r="D4840" s="4" t="str">
        <f>HYPERLINK("https://12go.asia/en/travel/gondia-junction/indore-jn-bg", "12Go Link")</f>
        <v>12Go Link</v>
      </c>
      <c r="E4840" s="3" t="s">
        <v>94</v>
      </c>
      <c r="K4840" s="5"/>
    </row>
    <row r="4841">
      <c r="A4841" s="3" t="s">
        <v>4727</v>
      </c>
      <c r="B4841" s="3" t="s">
        <v>4225</v>
      </c>
      <c r="C4841" s="3" t="s">
        <v>4731</v>
      </c>
      <c r="D4841" s="4" t="str">
        <f>HYPERLINK("https://12go.asia/en/travel/gondia/indore", "12Go Link")</f>
        <v>12Go Link</v>
      </c>
      <c r="E4841" s="3" t="s">
        <v>94</v>
      </c>
      <c r="K4841" s="5"/>
    </row>
    <row r="4842">
      <c r="A4842" s="3" t="s">
        <v>4727</v>
      </c>
      <c r="B4842" s="3" t="s">
        <v>4040</v>
      </c>
      <c r="C4842" s="3" t="s">
        <v>4732</v>
      </c>
      <c r="D4842" s="4" t="str">
        <f>HYPERLINK("https://12go.asia/en/travel/gondia/madhya-pradesh", "12Go Link")</f>
        <v>12Go Link</v>
      </c>
      <c r="E4842" s="3" t="s">
        <v>94</v>
      </c>
      <c r="K4842" s="5"/>
    </row>
    <row r="4843">
      <c r="A4843" s="3" t="s">
        <v>4727</v>
      </c>
      <c r="B4843" s="3" t="s">
        <v>3842</v>
      </c>
      <c r="C4843" s="3" t="s">
        <v>4733</v>
      </c>
      <c r="D4843" s="4" t="str">
        <f>HYPERLINK("https://12go.asia/en/travel/gondia-junction/new-delhi", "12Go Link")</f>
        <v>12Go Link</v>
      </c>
      <c r="E4843" s="3" t="s">
        <v>94</v>
      </c>
      <c r="K4843" s="5"/>
    </row>
    <row r="4844">
      <c r="A4844" s="3" t="s">
        <v>4727</v>
      </c>
      <c r="B4844" s="3" t="s">
        <v>3842</v>
      </c>
      <c r="C4844" s="3" t="s">
        <v>4734</v>
      </c>
      <c r="D4844" s="4" t="str">
        <f>HYPERLINK("https://12go.asia/en/travel/gondia/new-delhi", "12Go Link")</f>
        <v>12Go Link</v>
      </c>
      <c r="E4844" s="3" t="s">
        <v>94</v>
      </c>
      <c r="K4844" s="5"/>
    </row>
    <row r="4845">
      <c r="A4845" s="3" t="s">
        <v>4727</v>
      </c>
      <c r="B4845" s="3" t="s">
        <v>4143</v>
      </c>
      <c r="C4845" s="3" t="s">
        <v>4735</v>
      </c>
      <c r="D4845" s="4" t="str">
        <f>HYPERLINK("https://12go.asia/en/travel/gondia/telangana", "12Go Link")</f>
        <v>12Go Link</v>
      </c>
      <c r="E4845" s="3" t="s">
        <v>94</v>
      </c>
      <c r="K4845" s="5"/>
    </row>
    <row r="4846">
      <c r="A4846" s="3" t="s">
        <v>152</v>
      </c>
      <c r="B4846" s="3" t="s">
        <v>3754</v>
      </c>
      <c r="C4846" s="3" t="s">
        <v>4736</v>
      </c>
      <c r="D4846" s="4" t="str">
        <f>HYPERLINK("https://12go.asia/en/travel/gooty/pondicherry", "12Go Link")</f>
        <v>12Go Link</v>
      </c>
      <c r="E4846" s="3" t="s">
        <v>94</v>
      </c>
      <c r="K4846" s="5"/>
    </row>
    <row r="4847">
      <c r="A4847" s="3" t="s">
        <v>152</v>
      </c>
      <c r="B4847" s="3" t="s">
        <v>3754</v>
      </c>
      <c r="C4847" s="3" t="s">
        <v>4737</v>
      </c>
      <c r="D4847" s="4" t="str">
        <f>HYPERLINK("https://12go.asia/en/travel/gooty/puducherry", "12Go Link")</f>
        <v>12Go Link</v>
      </c>
      <c r="E4847" s="3" t="s">
        <v>94</v>
      </c>
      <c r="K4847" s="5"/>
    </row>
    <row r="4848">
      <c r="A4848" s="3" t="s">
        <v>152</v>
      </c>
      <c r="B4848" s="3" t="s">
        <v>3582</v>
      </c>
      <c r="C4848" s="3" t="s">
        <v>4738</v>
      </c>
      <c r="D4848" s="4" t="str">
        <f>HYPERLINK("https://12go.asia/en/travel/gooty/renigunta-junction", "12Go Link")</f>
        <v>12Go Link</v>
      </c>
      <c r="E4848" s="3" t="s">
        <v>94</v>
      </c>
      <c r="K4848" s="5"/>
    </row>
    <row r="4849">
      <c r="A4849" s="3" t="s">
        <v>152</v>
      </c>
      <c r="B4849" s="3" t="s">
        <v>3582</v>
      </c>
      <c r="C4849" s="3" t="s">
        <v>4739</v>
      </c>
      <c r="D4849" s="4" t="str">
        <f>HYPERLINK("https://12go.asia/en/travel/gooty/tirupati", "12Go Link")</f>
        <v>12Go Link</v>
      </c>
      <c r="E4849" s="3" t="s">
        <v>94</v>
      </c>
      <c r="K4849" s="5"/>
    </row>
    <row r="4850">
      <c r="A4850" s="3" t="s">
        <v>152</v>
      </c>
      <c r="B4850" s="3" t="s">
        <v>4381</v>
      </c>
      <c r="C4850" s="3" t="s">
        <v>4740</v>
      </c>
      <c r="D4850" s="4" t="str">
        <f>HYPERLINK("https://12go.asia/en/travel/gooty/yelhanka", "12Go Link")</f>
        <v>12Go Link</v>
      </c>
      <c r="E4850" s="3" t="s">
        <v>94</v>
      </c>
      <c r="K4850" s="5"/>
    </row>
    <row r="4851">
      <c r="A4851" s="3" t="s">
        <v>3892</v>
      </c>
      <c r="B4851" s="3" t="s">
        <v>3847</v>
      </c>
      <c r="C4851" s="3" t="s">
        <v>4741</v>
      </c>
      <c r="D4851" s="4" t="str">
        <f>HYPERLINK("https://12go.asia/en/travel/gopalpur-odisha/bangalore", "12Go Link")</f>
        <v>12Go Link</v>
      </c>
      <c r="E4851" s="3" t="s">
        <v>94</v>
      </c>
      <c r="K4851" s="5"/>
    </row>
    <row r="4852">
      <c r="A4852" s="3" t="s">
        <v>3892</v>
      </c>
      <c r="B4852" s="3" t="s">
        <v>3715</v>
      </c>
      <c r="C4852" s="3" t="s">
        <v>4742</v>
      </c>
      <c r="D4852" s="4" t="str">
        <f>HYPERLINK("https://12go.asia/en/travel/gopalpur-odisha/chennai", "12Go Link")</f>
        <v>12Go Link</v>
      </c>
      <c r="E4852" s="3" t="s">
        <v>94</v>
      </c>
      <c r="K4852" s="5"/>
    </row>
    <row r="4853">
      <c r="A4853" s="3" t="s">
        <v>3892</v>
      </c>
      <c r="B4853" s="3" t="s">
        <v>4116</v>
      </c>
      <c r="C4853" s="3" t="s">
        <v>4743</v>
      </c>
      <c r="D4853" s="4" t="str">
        <f>HYPERLINK("https://12go.asia/en/travel/gopalpur-odisha/chhattisgarh", "12Go Link")</f>
        <v>12Go Link</v>
      </c>
      <c r="E4853" s="3" t="s">
        <v>94</v>
      </c>
      <c r="K4853" s="5"/>
    </row>
    <row r="4854">
      <c r="A4854" s="3" t="s">
        <v>3892</v>
      </c>
      <c r="B4854" s="3" t="s">
        <v>4277</v>
      </c>
      <c r="C4854" s="3" t="s">
        <v>4744</v>
      </c>
      <c r="D4854" s="4" t="str">
        <f>HYPERLINK("https://12go.asia/en/travel/gopalpur-odisha/coimbatore", "12Go Link")</f>
        <v>12Go Link</v>
      </c>
      <c r="E4854" s="3" t="s">
        <v>94</v>
      </c>
      <c r="K4854" s="5"/>
    </row>
    <row r="4855">
      <c r="A4855" s="3" t="s">
        <v>3892</v>
      </c>
      <c r="B4855" s="3" t="s">
        <v>3701</v>
      </c>
      <c r="C4855" s="3" t="s">
        <v>4745</v>
      </c>
      <c r="D4855" s="4" t="str">
        <f>HYPERLINK("https://12go.asia/en/travel/gopalpur-odisha/howrah", "12Go Link")</f>
        <v>12Go Link</v>
      </c>
      <c r="E4855" s="3" t="s">
        <v>94</v>
      </c>
      <c r="K4855" s="5"/>
    </row>
    <row r="4856">
      <c r="A4856" s="3" t="s">
        <v>3892</v>
      </c>
      <c r="B4856" s="3" t="s">
        <v>3638</v>
      </c>
      <c r="C4856" s="3" t="s">
        <v>4746</v>
      </c>
      <c r="D4856" s="4" t="str">
        <f>HYPERLINK("https://12go.asia/en/travel/gopalpur-odisha/hyderabad", "12Go Link")</f>
        <v>12Go Link</v>
      </c>
      <c r="E4856" s="3" t="s">
        <v>94</v>
      </c>
      <c r="K4856" s="5"/>
    </row>
    <row r="4857">
      <c r="A4857" s="3" t="s">
        <v>3892</v>
      </c>
      <c r="B4857" s="3" t="s">
        <v>4747</v>
      </c>
      <c r="C4857" s="3" t="s">
        <v>4748</v>
      </c>
      <c r="D4857" s="4" t="str">
        <f>HYPERLINK("https://12go.asia/en/travel/gopalpur-odisha/khurda", "12Go Link")</f>
        <v>12Go Link</v>
      </c>
      <c r="E4857" s="3" t="s">
        <v>94</v>
      </c>
      <c r="K4857" s="5"/>
    </row>
    <row r="4858">
      <c r="A4858" s="3" t="s">
        <v>3892</v>
      </c>
      <c r="B4858" s="3" t="s">
        <v>3704</v>
      </c>
      <c r="C4858" s="3" t="s">
        <v>4749</v>
      </c>
      <c r="D4858" s="4" t="str">
        <f>HYPERLINK("https://12go.asia/en/travel/gopalpur-odisha/kolkata", "12Go Link")</f>
        <v>12Go Link</v>
      </c>
      <c r="E4858" s="3" t="s">
        <v>94</v>
      </c>
      <c r="K4858" s="5"/>
    </row>
    <row r="4859">
      <c r="A4859" s="3" t="s">
        <v>3892</v>
      </c>
      <c r="B4859" s="3" t="s">
        <v>3678</v>
      </c>
      <c r="C4859" s="3" t="s">
        <v>4750</v>
      </c>
      <c r="D4859" s="4" t="str">
        <f>HYPERLINK("https://12go.asia/en/travel/gopalpur-odisha/lingampalli", "12Go Link")</f>
        <v>12Go Link</v>
      </c>
      <c r="E4859" s="3" t="s">
        <v>94</v>
      </c>
      <c r="K4859" s="5"/>
    </row>
    <row r="4860">
      <c r="A4860" s="3" t="s">
        <v>3892</v>
      </c>
      <c r="B4860" s="3" t="s">
        <v>4130</v>
      </c>
      <c r="C4860" s="3" t="s">
        <v>4751</v>
      </c>
      <c r="D4860" s="4" t="str">
        <f>HYPERLINK("https://12go.asia/en/travel/gopalpur-odisha/puri", "12Go Link")</f>
        <v>12Go Link</v>
      </c>
      <c r="E4860" s="3" t="s">
        <v>94</v>
      </c>
      <c r="K4860" s="5"/>
    </row>
    <row r="4861">
      <c r="A4861" s="3" t="s">
        <v>3892</v>
      </c>
      <c r="B4861" s="3" t="s">
        <v>4752</v>
      </c>
      <c r="C4861" s="3" t="s">
        <v>4753</v>
      </c>
      <c r="D4861" s="4" t="str">
        <f>HYPERLINK("https://12go.asia/en/travel/gopalpur-odisha/raipur", "12Go Link")</f>
        <v>12Go Link</v>
      </c>
      <c r="E4861" s="3" t="s">
        <v>94</v>
      </c>
      <c r="K4861" s="5"/>
    </row>
    <row r="4862">
      <c r="A4862" s="3" t="s">
        <v>3892</v>
      </c>
      <c r="B4862" s="3" t="s">
        <v>4367</v>
      </c>
      <c r="C4862" s="3" t="s">
        <v>4754</v>
      </c>
      <c r="D4862" s="4" t="str">
        <f>HYPERLINK("https://12go.asia/en/travel/gopalpur-odisha/tamil-nadu", "12Go Link")</f>
        <v>12Go Link</v>
      </c>
      <c r="E4862" s="3" t="s">
        <v>94</v>
      </c>
      <c r="K4862" s="5"/>
    </row>
    <row r="4863">
      <c r="A4863" s="3" t="s">
        <v>3892</v>
      </c>
      <c r="B4863" s="3" t="s">
        <v>4143</v>
      </c>
      <c r="C4863" s="3" t="s">
        <v>4755</v>
      </c>
      <c r="D4863" s="4" t="str">
        <f>HYPERLINK("https://12go.asia/en/travel/gopalpur-odisha/telangana", "12Go Link")</f>
        <v>12Go Link</v>
      </c>
      <c r="E4863" s="3" t="s">
        <v>94</v>
      </c>
      <c r="K4863" s="5"/>
    </row>
    <row r="4864">
      <c r="A4864" s="3" t="s">
        <v>3892</v>
      </c>
      <c r="B4864" s="3" t="s">
        <v>4030</v>
      </c>
      <c r="C4864" s="3" t="s">
        <v>4756</v>
      </c>
      <c r="D4864" s="4" t="str">
        <f>HYPERLINK("https://12go.asia/en/travel/gopalpur-odisha/visakhapatnam", "12Go Link")</f>
        <v>12Go Link</v>
      </c>
      <c r="E4864" s="3" t="s">
        <v>94</v>
      </c>
      <c r="K4864" s="5"/>
    </row>
    <row r="4865">
      <c r="A4865" s="3" t="s">
        <v>3892</v>
      </c>
      <c r="B4865" s="3" t="s">
        <v>3708</v>
      </c>
      <c r="C4865" s="3" t="s">
        <v>4757</v>
      </c>
      <c r="D4865" s="4" t="str">
        <f>HYPERLINK("https://12go.asia/en/travel/gopalpur-odisha/west-bengal", "12Go Link")</f>
        <v>12Go Link</v>
      </c>
      <c r="E4865" s="3" t="s">
        <v>94</v>
      </c>
      <c r="K4865" s="5"/>
    </row>
    <row r="4866">
      <c r="A4866" s="3" t="s">
        <v>4384</v>
      </c>
      <c r="B4866" s="3" t="s">
        <v>3665</v>
      </c>
      <c r="C4866" s="3" t="s">
        <v>4758</v>
      </c>
      <c r="D4866" s="4" t="str">
        <f>HYPERLINK("https://12go.asia/en/travel/gorakhpur/ambala-city", "12Go Link")</f>
        <v>12Go Link</v>
      </c>
      <c r="E4866" s="3" t="s">
        <v>94</v>
      </c>
      <c r="K4866" s="5"/>
    </row>
    <row r="4867">
      <c r="A4867" s="3" t="s">
        <v>4384</v>
      </c>
      <c r="B4867" s="3" t="s">
        <v>3800</v>
      </c>
      <c r="C4867" s="3" t="s">
        <v>4759</v>
      </c>
      <c r="D4867" s="4" t="str">
        <f>HYPERLINK("https://12go.asia/en/travel/gorakhpur/assam", "12Go Link")</f>
        <v>12Go Link</v>
      </c>
      <c r="E4867" s="3" t="s">
        <v>94</v>
      </c>
      <c r="K4867" s="5"/>
    </row>
    <row r="4868">
      <c r="A4868" s="3" t="s">
        <v>4384</v>
      </c>
      <c r="B4868" s="3" t="s">
        <v>3952</v>
      </c>
      <c r="C4868" s="3" t="s">
        <v>4760</v>
      </c>
      <c r="D4868" s="4" t="str">
        <f>HYPERLINK("https://12go.asia/en/travel/gorakhpur/basti", "12Go Link")</f>
        <v>12Go Link</v>
      </c>
      <c r="E4868" s="3" t="s">
        <v>94</v>
      </c>
      <c r="K4868" s="5"/>
    </row>
    <row r="4869">
      <c r="A4869" s="3" t="s">
        <v>4384</v>
      </c>
      <c r="B4869" s="3" t="s">
        <v>4013</v>
      </c>
      <c r="C4869" s="3" t="s">
        <v>4761</v>
      </c>
      <c r="D4869" s="4" t="str">
        <f>HYPERLINK("https://12go.asia/en/travel/gorakhpur/daman", "12Go Link")</f>
        <v>12Go Link</v>
      </c>
      <c r="E4869" s="3" t="s">
        <v>94</v>
      </c>
      <c r="K4869" s="5"/>
    </row>
    <row r="4870">
      <c r="A4870" s="3" t="s">
        <v>4384</v>
      </c>
      <c r="B4870" s="3" t="s">
        <v>3801</v>
      </c>
      <c r="C4870" s="3" t="s">
        <v>4762</v>
      </c>
      <c r="D4870" s="4" t="str">
        <f>HYPERLINK("https://12go.asia/en/travel/gorakhpur/guwahati", "12Go Link")</f>
        <v>12Go Link</v>
      </c>
      <c r="E4870" s="3" t="s">
        <v>94</v>
      </c>
      <c r="K4870" s="5"/>
    </row>
    <row r="4871">
      <c r="A4871" s="3" t="s">
        <v>4384</v>
      </c>
      <c r="B4871" s="3" t="s">
        <v>3801</v>
      </c>
      <c r="C4871" s="3" t="s">
        <v>4763</v>
      </c>
      <c r="D4871" s="4" t="str">
        <f>HYPERLINK("https://12go.asia/en/travel/gorakhpur/kamakhya", "12Go Link")</f>
        <v>12Go Link</v>
      </c>
      <c r="E4871" s="3" t="s">
        <v>94</v>
      </c>
      <c r="K4871" s="5"/>
    </row>
    <row r="4872">
      <c r="A4872" s="3" t="s">
        <v>4384</v>
      </c>
      <c r="B4872" s="3" t="s">
        <v>3726</v>
      </c>
      <c r="C4872" s="3" t="s">
        <v>4764</v>
      </c>
      <c r="D4872" s="4" t="str">
        <f>HYPERLINK("https://12go.asia/en/travel/gorakhpur/habibganj", "12Go Link")</f>
        <v>12Go Link</v>
      </c>
      <c r="E4872" s="3" t="s">
        <v>94</v>
      </c>
      <c r="K4872" s="5"/>
    </row>
    <row r="4873">
      <c r="A4873" s="3" t="s">
        <v>4384</v>
      </c>
      <c r="B4873" s="3" t="s">
        <v>4765</v>
      </c>
      <c r="C4873" s="3" t="s">
        <v>4766</v>
      </c>
      <c r="D4873" s="4" t="str">
        <f>HYPERLINK("https://12go.asia/en/travel/gorakhpur/haldwani", "12Go Link")</f>
        <v>12Go Link</v>
      </c>
      <c r="E4873" s="3" t="s">
        <v>94</v>
      </c>
      <c r="K4873" s="5"/>
    </row>
    <row r="4874">
      <c r="A4874" s="3" t="s">
        <v>4384</v>
      </c>
      <c r="B4874" s="3" t="s">
        <v>3663</v>
      </c>
      <c r="C4874" s="3" t="s">
        <v>4767</v>
      </c>
      <c r="D4874" s="4" t="str">
        <f>HYPERLINK("https://12go.asia/en/travel/gorakhpur/jammu-tawi", "12Go Link")</f>
        <v>12Go Link</v>
      </c>
      <c r="E4874" s="3" t="s">
        <v>94</v>
      </c>
      <c r="K4874" s="5"/>
    </row>
    <row r="4875">
      <c r="A4875" s="3" t="s">
        <v>4384</v>
      </c>
      <c r="B4875" s="3" t="s">
        <v>4003</v>
      </c>
      <c r="C4875" s="3" t="s">
        <v>4768</v>
      </c>
      <c r="D4875" s="4" t="str">
        <f>HYPERLINK("https://12go.asia/en/travel/gorakhpur/jammu-and-kashmir", "12Go Link")</f>
        <v>12Go Link</v>
      </c>
      <c r="E4875" s="3" t="s">
        <v>94</v>
      </c>
      <c r="K4875" s="5"/>
    </row>
    <row r="4876">
      <c r="A4876" s="3" t="s">
        <v>4384</v>
      </c>
      <c r="B4876" s="3" t="s">
        <v>3752</v>
      </c>
      <c r="C4876" s="3" t="s">
        <v>4769</v>
      </c>
      <c r="D4876" s="4" t="str">
        <f>HYPERLINK("https://12go.asia/en/travel/gorakhpur/prayagraj", "12Go Link")</f>
        <v>12Go Link</v>
      </c>
      <c r="E4876" s="3" t="s">
        <v>94</v>
      </c>
      <c r="K4876" s="5"/>
    </row>
    <row r="4877">
      <c r="A4877" s="3" t="s">
        <v>4384</v>
      </c>
      <c r="B4877" s="3" t="s">
        <v>4196</v>
      </c>
      <c r="C4877" s="3" t="s">
        <v>4770</v>
      </c>
      <c r="D4877" s="4" t="str">
        <f>HYPERLINK("https://12go.asia/en/travel/gorakhpur/samastipur", "12Go Link")</f>
        <v>12Go Link</v>
      </c>
      <c r="E4877" s="3" t="s">
        <v>94</v>
      </c>
      <c r="K4877" s="5"/>
    </row>
    <row r="4878">
      <c r="A4878" s="3" t="s">
        <v>4384</v>
      </c>
      <c r="B4878" s="3" t="s">
        <v>4196</v>
      </c>
      <c r="C4878" s="3" t="s">
        <v>4771</v>
      </c>
      <c r="D4878" s="4" t="str">
        <f>HYPERLINK("https://12go.asia/en/travel/gorakhpur/samastipur-junction", "12Go Link")</f>
        <v>12Go Link</v>
      </c>
      <c r="E4878" s="3" t="s">
        <v>94</v>
      </c>
      <c r="K4878" s="5"/>
    </row>
    <row r="4879">
      <c r="A4879" s="3" t="s">
        <v>4384</v>
      </c>
      <c r="B4879" s="3" t="s">
        <v>4772</v>
      </c>
      <c r="C4879" s="3" t="s">
        <v>4773</v>
      </c>
      <c r="D4879" s="4" t="str">
        <f>HYPERLINK("https://12go.asia/en/travel/gorakhpur/satna", "12Go Link")</f>
        <v>12Go Link</v>
      </c>
      <c r="E4879" s="3" t="s">
        <v>94</v>
      </c>
      <c r="K4879" s="5"/>
    </row>
    <row r="4880">
      <c r="A4880" s="3" t="s">
        <v>4384</v>
      </c>
      <c r="B4880" s="3" t="s">
        <v>4198</v>
      </c>
      <c r="C4880" s="3" t="s">
        <v>4774</v>
      </c>
      <c r="D4880" s="4" t="str">
        <f>HYPERLINK("https://12go.asia/en/travel/gorakhpur/siwan", "12Go Link")</f>
        <v>12Go Link</v>
      </c>
      <c r="E4880" s="3" t="s">
        <v>94</v>
      </c>
      <c r="K4880" s="5"/>
    </row>
    <row r="4881">
      <c r="A4881" s="3" t="s">
        <v>4384</v>
      </c>
      <c r="B4881" s="3" t="s">
        <v>4198</v>
      </c>
      <c r="C4881" s="3" t="s">
        <v>4775</v>
      </c>
      <c r="D4881" s="4" t="str">
        <f>HYPERLINK("https://12go.asia/en/travel/gorakhpur/siwan-junction", "12Go Link")</f>
        <v>12Go Link</v>
      </c>
      <c r="E4881" s="3" t="s">
        <v>94</v>
      </c>
      <c r="K4881" s="5"/>
    </row>
    <row r="4882">
      <c r="A4882" s="3" t="s">
        <v>4384</v>
      </c>
      <c r="B4882" s="3" t="s">
        <v>4776</v>
      </c>
      <c r="C4882" s="3" t="s">
        <v>4777</v>
      </c>
      <c r="D4882" s="4" t="str">
        <f>HYPERLINK("https://12go.asia/en/travel/gorakhpur/sujangarh", "12Go Link")</f>
        <v>12Go Link</v>
      </c>
      <c r="E4882" s="3" t="s">
        <v>94</v>
      </c>
      <c r="K4882" s="5"/>
    </row>
    <row r="4883">
      <c r="A4883" s="3" t="s">
        <v>4384</v>
      </c>
      <c r="B4883" s="3" t="s">
        <v>4776</v>
      </c>
      <c r="C4883" s="3" t="s">
        <v>4778</v>
      </c>
      <c r="D4883" s="4" t="str">
        <f>HYPERLINK("https://12go.asia/en/travel/gorakhpur/sujangarh-rajasthan", "12Go Link")</f>
        <v>12Go Link</v>
      </c>
      <c r="E4883" s="3" t="s">
        <v>94</v>
      </c>
      <c r="K4883" s="5"/>
    </row>
    <row r="4884">
      <c r="A4884" s="3" t="s">
        <v>4384</v>
      </c>
      <c r="B4884" s="3" t="s">
        <v>4367</v>
      </c>
      <c r="C4884" s="3" t="s">
        <v>4779</v>
      </c>
      <c r="D4884" s="4" t="str">
        <f>HYPERLINK("https://12go.asia/en/travel/gorakhpur/tamil-nadu", "12Go Link")</f>
        <v>12Go Link</v>
      </c>
      <c r="E4884" s="3" t="s">
        <v>94</v>
      </c>
      <c r="K4884" s="5"/>
    </row>
    <row r="4885">
      <c r="A4885" s="3" t="s">
        <v>4384</v>
      </c>
      <c r="B4885" s="3" t="s">
        <v>4780</v>
      </c>
      <c r="C4885" s="3" t="s">
        <v>4781</v>
      </c>
      <c r="D4885" s="4" t="str">
        <f>HYPERLINK("https://12go.asia/en/travel/gorakhpur/tinsukia", "12Go Link")</f>
        <v>12Go Link</v>
      </c>
      <c r="E4885" s="3" t="s">
        <v>94</v>
      </c>
      <c r="K4885" s="5"/>
    </row>
    <row r="4886">
      <c r="A4886" s="3" t="s">
        <v>155</v>
      </c>
      <c r="B4886" s="3" t="s">
        <v>3578</v>
      </c>
      <c r="C4886" s="3" t="s">
        <v>4782</v>
      </c>
      <c r="D4886" s="4" t="str">
        <f>HYPERLINK("https://12go.asia/en/travel/gujarat/abhaneri", "12Go Link")</f>
        <v>12Go Link</v>
      </c>
      <c r="E4886" s="3" t="s">
        <v>94</v>
      </c>
      <c r="K4886" s="5"/>
    </row>
    <row r="4887">
      <c r="A4887" s="3" t="s">
        <v>155</v>
      </c>
      <c r="B4887" s="3" t="s">
        <v>149</v>
      </c>
      <c r="C4887" s="3" t="s">
        <v>4783</v>
      </c>
      <c r="D4887" s="4" t="str">
        <f>HYPERLINK("https://12go.asia/en/travel/maliya-hatina/ahmedabad-jn", "12Go Link")</f>
        <v>12Go Link</v>
      </c>
      <c r="E4887" s="3" t="s">
        <v>94</v>
      </c>
      <c r="K4887" s="5"/>
    </row>
    <row r="4888">
      <c r="A4888" s="3" t="s">
        <v>155</v>
      </c>
      <c r="B4888" s="3" t="s">
        <v>3615</v>
      </c>
      <c r="C4888" s="3" t="s">
        <v>4784</v>
      </c>
      <c r="D4888" s="4" t="str">
        <f>HYPERLINK("https://12go.asia/en/travel/gujarat/akola", "12Go Link")</f>
        <v>12Go Link</v>
      </c>
      <c r="E4888" s="3" t="s">
        <v>94</v>
      </c>
      <c r="K4888" s="5"/>
    </row>
    <row r="4889">
      <c r="A4889" s="3" t="s">
        <v>155</v>
      </c>
      <c r="B4889" s="3" t="s">
        <v>3668</v>
      </c>
      <c r="C4889" s="3" t="s">
        <v>4785</v>
      </c>
      <c r="D4889" s="4" t="str">
        <f>HYPERLINK("https://12go.asia/en/travel/gujarat/amravati", "12Go Link")</f>
        <v>12Go Link</v>
      </c>
      <c r="E4889" s="3" t="s">
        <v>94</v>
      </c>
      <c r="K4889" s="5"/>
    </row>
    <row r="4890">
      <c r="A4890" s="3" t="s">
        <v>155</v>
      </c>
      <c r="B4890" s="3" t="s">
        <v>3619</v>
      </c>
      <c r="C4890" s="3" t="s">
        <v>4786</v>
      </c>
      <c r="D4890" s="4" t="str">
        <f>HYPERLINK("https://12go.asia/en/travel/gujarat/bandikui", "12Go Link")</f>
        <v>12Go Link</v>
      </c>
      <c r="E4890" s="3" t="s">
        <v>94</v>
      </c>
      <c r="K4890" s="5"/>
    </row>
    <row r="4891">
      <c r="A4891" s="3" t="s">
        <v>155</v>
      </c>
      <c r="B4891" s="3" t="s">
        <v>4113</v>
      </c>
      <c r="C4891" s="3" t="s">
        <v>4787</v>
      </c>
      <c r="D4891" s="4" t="str">
        <f>HYPERLINK("https://12go.asia/en/travel/palanpur-junction/bandra-terminus", "12Go Link")</f>
        <v>12Go Link</v>
      </c>
      <c r="E4891" s="3" t="s">
        <v>94</v>
      </c>
      <c r="K4891" s="5"/>
    </row>
    <row r="4892">
      <c r="A4892" s="3" t="s">
        <v>155</v>
      </c>
      <c r="B4892" s="3" t="s">
        <v>4394</v>
      </c>
      <c r="C4892" s="3" t="s">
        <v>4788</v>
      </c>
      <c r="D4892" s="4" t="str">
        <f>HYPERLINK("https://12go.asia/en/travel/gujarat/chhatarpur", "12Go Link")</f>
        <v>12Go Link</v>
      </c>
      <c r="E4892" s="3" t="s">
        <v>94</v>
      </c>
      <c r="K4892" s="5"/>
    </row>
    <row r="4893">
      <c r="A4893" s="3" t="s">
        <v>155</v>
      </c>
      <c r="B4893" s="3" t="s">
        <v>4671</v>
      </c>
      <c r="C4893" s="3" t="s">
        <v>4789</v>
      </c>
      <c r="D4893" s="4" t="str">
        <f>HYPERLINK("https://12go.asia/en/travel/adipur/gandhinagar-capital", "12Go Link")</f>
        <v>12Go Link</v>
      </c>
      <c r="E4893" s="3" t="s">
        <v>94</v>
      </c>
      <c r="K4893" s="5"/>
    </row>
    <row r="4894">
      <c r="A4894" s="3" t="s">
        <v>155</v>
      </c>
      <c r="B4894" s="3" t="s">
        <v>4253</v>
      </c>
      <c r="C4894" s="3" t="s">
        <v>4790</v>
      </c>
      <c r="D4894" s="4" t="str">
        <f>HYPERLINK("https://12go.asia/en/travel/bhatiya/junagadh-junction", "12Go Link")</f>
        <v>12Go Link</v>
      </c>
      <c r="E4894" s="3" t="s">
        <v>94</v>
      </c>
      <c r="K4894" s="5"/>
    </row>
    <row r="4895">
      <c r="A4895" s="3" t="s">
        <v>155</v>
      </c>
      <c r="B4895" s="3" t="s">
        <v>3622</v>
      </c>
      <c r="C4895" s="3" t="s">
        <v>4791</v>
      </c>
      <c r="D4895" s="4" t="str">
        <f>HYPERLINK("https://12go.asia/en/travel/gujarat/karwar", "12Go Link")</f>
        <v>12Go Link</v>
      </c>
      <c r="E4895" s="3" t="s">
        <v>94</v>
      </c>
      <c r="K4895" s="5"/>
    </row>
    <row r="4896">
      <c r="A4896" s="3" t="s">
        <v>155</v>
      </c>
      <c r="B4896" s="3" t="s">
        <v>4429</v>
      </c>
      <c r="C4896" s="3" t="s">
        <v>4792</v>
      </c>
      <c r="D4896" s="4" t="str">
        <f>HYPERLINK("https://12go.asia/en/travel/gujarat/khajuraho", "12Go Link")</f>
        <v>12Go Link</v>
      </c>
      <c r="E4896" s="3" t="s">
        <v>94</v>
      </c>
      <c r="K4896" s="5"/>
    </row>
    <row r="4897">
      <c r="A4897" s="3" t="s">
        <v>155</v>
      </c>
      <c r="B4897" s="3" t="s">
        <v>3599</v>
      </c>
      <c r="C4897" s="3" t="s">
        <v>4793</v>
      </c>
      <c r="D4897" s="4" t="str">
        <f>HYPERLINK("https://12go.asia/en/travel/gujarat/kopargaon", "12Go Link")</f>
        <v>12Go Link</v>
      </c>
      <c r="E4897" s="3" t="s">
        <v>94</v>
      </c>
      <c r="K4897" s="5"/>
    </row>
    <row r="4898">
      <c r="A4898" s="3" t="s">
        <v>155</v>
      </c>
      <c r="B4898" s="3" t="s">
        <v>4261</v>
      </c>
      <c r="C4898" s="3" t="s">
        <v>4794</v>
      </c>
      <c r="D4898" s="4" t="str">
        <f>HYPERLINK("https://12go.asia/en/travel/gujarat/kosamba", "12Go Link")</f>
        <v>12Go Link</v>
      </c>
      <c r="E4898" s="3" t="s">
        <v>94</v>
      </c>
      <c r="K4898" s="5"/>
    </row>
    <row r="4899">
      <c r="A4899" s="3" t="s">
        <v>155</v>
      </c>
      <c r="B4899" s="3" t="s">
        <v>3625</v>
      </c>
      <c r="C4899" s="3" t="s">
        <v>4795</v>
      </c>
      <c r="D4899" s="4" t="str">
        <f>HYPERLINK("https://12go.asia/en/travel/gujarat/manipal", "12Go Link")</f>
        <v>12Go Link</v>
      </c>
      <c r="E4899" s="3" t="s">
        <v>94</v>
      </c>
      <c r="K4899" s="5"/>
    </row>
    <row r="4900">
      <c r="A4900" s="3" t="s">
        <v>155</v>
      </c>
      <c r="B4900" s="3" t="s">
        <v>4796</v>
      </c>
      <c r="C4900" s="3" t="s">
        <v>4797</v>
      </c>
      <c r="D4900" s="4" t="str">
        <f>HYPERLINK("https://12go.asia/en/travel/gujarat/mau", "12Go Link")</f>
        <v>12Go Link</v>
      </c>
      <c r="E4900" s="3" t="s">
        <v>94</v>
      </c>
      <c r="K4900" s="5"/>
    </row>
    <row r="4901">
      <c r="A4901" s="3" t="s">
        <v>155</v>
      </c>
      <c r="B4901" s="3" t="s">
        <v>3627</v>
      </c>
      <c r="C4901" s="3" t="s">
        <v>4798</v>
      </c>
      <c r="D4901" s="4" t="str">
        <f>HYPERLINK("https://12go.asia/en/travel/gujarat/nagda", "12Go Link")</f>
        <v>12Go Link</v>
      </c>
      <c r="E4901" s="3" t="s">
        <v>94</v>
      </c>
      <c r="K4901" s="5"/>
    </row>
    <row r="4902">
      <c r="A4902" s="3" t="s">
        <v>155</v>
      </c>
      <c r="B4902" s="3" t="s">
        <v>3631</v>
      </c>
      <c r="C4902" s="3" t="s">
        <v>4799</v>
      </c>
      <c r="D4902" s="4" t="str">
        <f>HYPERLINK("https://12go.asia/en/travel/gujarat/orai", "12Go Link")</f>
        <v>12Go Link</v>
      </c>
      <c r="E4902" s="3" t="s">
        <v>94</v>
      </c>
      <c r="K4902" s="5"/>
    </row>
    <row r="4903">
      <c r="A4903" s="3" t="s">
        <v>155</v>
      </c>
      <c r="B4903" s="3" t="s">
        <v>4800</v>
      </c>
      <c r="C4903" s="3" t="s">
        <v>4801</v>
      </c>
      <c r="D4903" s="4" t="str">
        <f>HYPERLINK("https://12go.asia/en/travel/gujarat/sadulpur", "12Go Link")</f>
        <v>12Go Link</v>
      </c>
      <c r="E4903" s="3" t="s">
        <v>94</v>
      </c>
      <c r="K4903" s="5"/>
    </row>
    <row r="4904">
      <c r="A4904" s="3" t="s">
        <v>155</v>
      </c>
      <c r="B4904" s="3" t="s">
        <v>4802</v>
      </c>
      <c r="C4904" s="3" t="s">
        <v>4803</v>
      </c>
      <c r="D4904" s="4" t="str">
        <f>HYPERLINK("https://12go.asia/en/travel/gujarat/samakhiali", "12Go Link")</f>
        <v>12Go Link</v>
      </c>
      <c r="E4904" s="3" t="s">
        <v>94</v>
      </c>
      <c r="K4904" s="5"/>
    </row>
    <row r="4905">
      <c r="A4905" s="3" t="s">
        <v>155</v>
      </c>
      <c r="B4905" s="3" t="s">
        <v>4772</v>
      </c>
      <c r="C4905" s="3" t="s">
        <v>4804</v>
      </c>
      <c r="D4905" s="4" t="str">
        <f>HYPERLINK("https://12go.asia/en/travel/gujarat/satna", "12Go Link")</f>
        <v>12Go Link</v>
      </c>
      <c r="E4905" s="3" t="s">
        <v>94</v>
      </c>
      <c r="K4905" s="5"/>
    </row>
    <row r="4906">
      <c r="A4906" s="3" t="s">
        <v>155</v>
      </c>
      <c r="B4906" s="3" t="s">
        <v>4805</v>
      </c>
      <c r="C4906" s="3" t="s">
        <v>4806</v>
      </c>
      <c r="D4906" s="4" t="str">
        <f>HYPERLINK("https://12go.asia/en/travel/gujarat/una-himachal", "12Go Link")</f>
        <v>12Go Link</v>
      </c>
      <c r="E4906" s="3" t="s">
        <v>94</v>
      </c>
      <c r="K4906" s="5"/>
    </row>
    <row r="4907">
      <c r="A4907" s="3" t="s">
        <v>155</v>
      </c>
      <c r="B4907" s="3" t="s">
        <v>4086</v>
      </c>
      <c r="C4907" s="3" t="s">
        <v>4807</v>
      </c>
      <c r="D4907" s="4" t="str">
        <f>HYPERLINK("https://12go.asia/en/travel/gujarat/vidisha", "12Go Link")</f>
        <v>12Go Link</v>
      </c>
      <c r="E4907" s="3" t="s">
        <v>94</v>
      </c>
      <c r="K4907" s="5"/>
    </row>
    <row r="4908">
      <c r="A4908" s="3" t="s">
        <v>155</v>
      </c>
      <c r="B4908" s="3" t="s">
        <v>4273</v>
      </c>
      <c r="C4908" s="3" t="s">
        <v>4808</v>
      </c>
      <c r="D4908" s="4" t="str">
        <f>HYPERLINK("https://12go.asia/en/travel/gujarat/vyara", "12Go Link")</f>
        <v>12Go Link</v>
      </c>
      <c r="E4908" s="3" t="s">
        <v>94</v>
      </c>
      <c r="K4908" s="5"/>
    </row>
    <row r="4909">
      <c r="A4909" s="3" t="s">
        <v>4809</v>
      </c>
      <c r="B4909" s="3" t="s">
        <v>4239</v>
      </c>
      <c r="C4909" s="3" t="s">
        <v>4810</v>
      </c>
      <c r="D4909" s="4" t="str">
        <f>HYPERLINK("https://12go.asia/en/travel/guna/bina", "12Go Link")</f>
        <v>12Go Link</v>
      </c>
      <c r="E4909" s="3" t="s">
        <v>94</v>
      </c>
      <c r="K4909" s="5"/>
    </row>
    <row r="4910">
      <c r="A4910" s="3" t="s">
        <v>4809</v>
      </c>
      <c r="B4910" s="3" t="s">
        <v>4239</v>
      </c>
      <c r="C4910" s="3" t="s">
        <v>4811</v>
      </c>
      <c r="D4910" s="4" t="str">
        <f>HYPERLINK("https://12go.asia/en/travel/guna/bina-junction", "12Go Link")</f>
        <v>12Go Link</v>
      </c>
      <c r="E4910" s="3" t="s">
        <v>94</v>
      </c>
      <c r="K4910" s="5"/>
    </row>
    <row r="4911">
      <c r="A4911" s="3" t="s">
        <v>4809</v>
      </c>
      <c r="B4911" s="3" t="s">
        <v>4812</v>
      </c>
      <c r="C4911" s="3" t="s">
        <v>4813</v>
      </c>
      <c r="D4911" s="4" t="str">
        <f>HYPERLINK("https://12go.asia/en/travel/guna/shivpuri", "12Go Link")</f>
        <v>12Go Link</v>
      </c>
      <c r="E4911" s="3" t="s">
        <v>94</v>
      </c>
      <c r="K4911" s="5"/>
    </row>
    <row r="4912">
      <c r="A4912" s="3" t="s">
        <v>3723</v>
      </c>
      <c r="B4912" s="3" t="s">
        <v>4814</v>
      </c>
      <c r="C4912" s="3" t="s">
        <v>4815</v>
      </c>
      <c r="D4912" s="4" t="str">
        <f>HYPERLINK("https://12go.asia/en/travel/guntur-andhra-pradesh/annavaram", "12Go Link")</f>
        <v>12Go Link</v>
      </c>
      <c r="E4912" s="3" t="s">
        <v>8</v>
      </c>
      <c r="K4912" s="5"/>
    </row>
    <row r="4913">
      <c r="A4913" s="3" t="s">
        <v>3723</v>
      </c>
      <c r="B4913" s="3" t="s">
        <v>4814</v>
      </c>
      <c r="C4913" s="3" t="s">
        <v>4816</v>
      </c>
      <c r="D4913" s="4" t="str">
        <f>HYPERLINK("https://12go.asia/en/travel/guntur/annavaram", "12Go Link")</f>
        <v>12Go Link</v>
      </c>
      <c r="E4913" s="3" t="s">
        <v>8</v>
      </c>
      <c r="K4913" s="5"/>
    </row>
    <row r="4914">
      <c r="A4914" s="3" t="s">
        <v>3723</v>
      </c>
      <c r="B4914" s="3" t="s">
        <v>3847</v>
      </c>
      <c r="C4914" s="3" t="s">
        <v>4817</v>
      </c>
      <c r="D4914" s="4" t="str">
        <f>HYPERLINK("https://12go.asia/en/travel/guntur-junction/yelahanka-junction", "12Go Link")</f>
        <v>12Go Link</v>
      </c>
      <c r="E4914" s="3" t="s">
        <v>94</v>
      </c>
      <c r="K4914" s="5"/>
    </row>
    <row r="4915">
      <c r="A4915" s="3" t="s">
        <v>3723</v>
      </c>
      <c r="B4915" s="3" t="s">
        <v>160</v>
      </c>
      <c r="C4915" s="3" t="s">
        <v>4818</v>
      </c>
      <c r="D4915" s="4" t="str">
        <f>HYPERLINK("https://12go.asia/en/travel/guntur-junction/kurnool-town", "12Go Link")</f>
        <v>12Go Link</v>
      </c>
      <c r="E4915" s="3" t="s">
        <v>94</v>
      </c>
      <c r="K4915" s="5"/>
    </row>
    <row r="4916">
      <c r="A4916" s="3" t="s">
        <v>3723</v>
      </c>
      <c r="B4916" s="3" t="s">
        <v>160</v>
      </c>
      <c r="C4916" s="3" t="s">
        <v>4819</v>
      </c>
      <c r="D4916" s="4" t="str">
        <f>HYPERLINK("https://12go.asia/en/travel/guntur/kurnool", "12Go Link")</f>
        <v>12Go Link</v>
      </c>
      <c r="E4916" s="3" t="s">
        <v>94</v>
      </c>
      <c r="K4916" s="5"/>
    </row>
    <row r="4917">
      <c r="A4917" s="3" t="s">
        <v>3723</v>
      </c>
      <c r="B4917" s="3" t="s">
        <v>165</v>
      </c>
      <c r="C4917" s="3" t="s">
        <v>4820</v>
      </c>
      <c r="D4917" s="4" t="str">
        <f>HYPERLINK("https://12go.asia/en/travel/guntur/margao", "12Go Link")</f>
        <v>12Go Link</v>
      </c>
      <c r="E4917" s="3" t="s">
        <v>94</v>
      </c>
      <c r="K4917" s="5"/>
    </row>
    <row r="4918">
      <c r="A4918" s="3" t="s">
        <v>3723</v>
      </c>
      <c r="B4918" s="3" t="s">
        <v>3744</v>
      </c>
      <c r="C4918" s="3" t="s">
        <v>4821</v>
      </c>
      <c r="D4918" s="4" t="str">
        <f>HYPERLINK("https://12go.asia/en/travel/new-guntur/nellore", "12Go Link")</f>
        <v>12Go Link</v>
      </c>
      <c r="E4918" s="3" t="s">
        <v>94</v>
      </c>
      <c r="K4918" s="5"/>
    </row>
    <row r="4919">
      <c r="A4919" s="3" t="s">
        <v>3723</v>
      </c>
      <c r="B4919" s="3" t="s">
        <v>3744</v>
      </c>
      <c r="C4919" s="3" t="s">
        <v>4822</v>
      </c>
      <c r="D4919" s="4" t="str">
        <f>HYPERLINK("https://12go.asia/en/travel/guntur/nellore", "12Go Link")</f>
        <v>12Go Link</v>
      </c>
      <c r="E4919" s="3" t="s">
        <v>94</v>
      </c>
      <c r="K4919" s="5"/>
    </row>
    <row r="4920">
      <c r="A4920" s="3" t="s">
        <v>3723</v>
      </c>
      <c r="B4920" s="3" t="s">
        <v>3754</v>
      </c>
      <c r="C4920" s="3" t="s">
        <v>4823</v>
      </c>
      <c r="D4920" s="4" t="str">
        <f>HYPERLINK("https://12go.asia/en/travel/guntur-andhra-pradesh/puducherry", "12Go Link")</f>
        <v>12Go Link</v>
      </c>
      <c r="E4920" s="3" t="s">
        <v>8</v>
      </c>
      <c r="K4920" s="5"/>
    </row>
    <row r="4921">
      <c r="A4921" s="3" t="s">
        <v>3723</v>
      </c>
      <c r="B4921" s="3" t="s">
        <v>3754</v>
      </c>
      <c r="C4921" s="3" t="s">
        <v>4824</v>
      </c>
      <c r="D4921" s="4" t="str">
        <f>HYPERLINK("https://12go.asia/en/travel/guntur/puducherry", "12Go Link")</f>
        <v>12Go Link</v>
      </c>
      <c r="E4921" s="3" t="s">
        <v>8</v>
      </c>
      <c r="K4921" s="5"/>
    </row>
    <row r="4922">
      <c r="A4922" s="3" t="s">
        <v>3723</v>
      </c>
      <c r="B4922" s="3" t="s">
        <v>4443</v>
      </c>
      <c r="C4922" s="3" t="s">
        <v>4825</v>
      </c>
      <c r="D4922" s="4" t="str">
        <f>HYPERLINK("https://12go.asia/en/travel/guntur-junction/rajahmundry", "12Go Link")</f>
        <v>12Go Link</v>
      </c>
      <c r="E4922" s="3" t="s">
        <v>94</v>
      </c>
      <c r="K4922" s="5"/>
    </row>
    <row r="4923">
      <c r="A4923" s="3" t="s">
        <v>3723</v>
      </c>
      <c r="B4923" s="3" t="s">
        <v>4443</v>
      </c>
      <c r="C4923" s="3" t="s">
        <v>4826</v>
      </c>
      <c r="D4923" s="4" t="str">
        <f>HYPERLINK("https://12go.asia/en/travel/guntur/rajahmundry", "12Go Link")</f>
        <v>12Go Link</v>
      </c>
      <c r="E4923" s="3" t="s">
        <v>94</v>
      </c>
      <c r="K4923" s="5"/>
    </row>
    <row r="4924">
      <c r="A4924" s="3" t="s">
        <v>3723</v>
      </c>
      <c r="B4924" s="3" t="s">
        <v>4381</v>
      </c>
      <c r="C4924" s="3" t="s">
        <v>4827</v>
      </c>
      <c r="D4924" s="4" t="str">
        <f>HYPERLINK("https://12go.asia/en/travel/guntur/yelhanka", "12Go Link")</f>
        <v>12Go Link</v>
      </c>
      <c r="E4924" s="3" t="s">
        <v>94</v>
      </c>
      <c r="K4924" s="5"/>
    </row>
    <row r="4925">
      <c r="A4925" s="3" t="s">
        <v>4828</v>
      </c>
      <c r="B4925" s="3" t="s">
        <v>4433</v>
      </c>
      <c r="C4925" s="3" t="s">
        <v>4829</v>
      </c>
      <c r="D4925" s="4" t="str">
        <f>HYPERLINK("https://12go.asia/en/travel/gurgaon/churu", "12Go Link")</f>
        <v>12Go Link</v>
      </c>
      <c r="E4925" s="3" t="s">
        <v>94</v>
      </c>
      <c r="K4925" s="5"/>
    </row>
    <row r="4926">
      <c r="A4926" s="3" t="s">
        <v>4828</v>
      </c>
      <c r="B4926" s="3" t="s">
        <v>4464</v>
      </c>
      <c r="C4926" s="3" t="s">
        <v>4830</v>
      </c>
      <c r="D4926" s="4" t="str">
        <f>HYPERLINK("https://12go.asia/en/travel/gurgaon/dausa", "12Go Link")</f>
        <v>12Go Link</v>
      </c>
      <c r="E4926" s="3" t="s">
        <v>94</v>
      </c>
      <c r="K4926" s="5"/>
    </row>
    <row r="4927">
      <c r="A4927" s="3" t="s">
        <v>4828</v>
      </c>
      <c r="B4927" s="3" t="s">
        <v>4831</v>
      </c>
      <c r="C4927" s="3" t="s">
        <v>4832</v>
      </c>
      <c r="D4927" s="4" t="str">
        <f>HYPERLINK("https://12go.asia/en/travel/gurgaon/karnal", "12Go Link")</f>
        <v>12Go Link</v>
      </c>
      <c r="E4927" s="3" t="s">
        <v>94</v>
      </c>
      <c r="K4927" s="5"/>
    </row>
    <row r="4928">
      <c r="A4928" s="3" t="s">
        <v>4828</v>
      </c>
      <c r="B4928" s="3" t="s">
        <v>3739</v>
      </c>
      <c r="C4928" s="3" t="s">
        <v>4833</v>
      </c>
      <c r="D4928" s="4" t="str">
        <f>HYPERLINK("https://12go.asia/en/travel/gurgaon/mughalsarai", "12Go Link")</f>
        <v>12Go Link</v>
      </c>
      <c r="E4928" s="3" t="s">
        <v>94</v>
      </c>
      <c r="K4928" s="5"/>
    </row>
    <row r="4929">
      <c r="A4929" s="3" t="s">
        <v>4828</v>
      </c>
      <c r="B4929" s="3" t="s">
        <v>4660</v>
      </c>
      <c r="C4929" s="3" t="s">
        <v>4834</v>
      </c>
      <c r="D4929" s="4" t="str">
        <f>HYPERLINK("https://12go.asia/en/travel/gurgaon/pathankot", "12Go Link")</f>
        <v>12Go Link</v>
      </c>
      <c r="E4929" s="3" t="s">
        <v>94</v>
      </c>
      <c r="K4929" s="5"/>
    </row>
    <row r="4930">
      <c r="A4930" s="3" t="s">
        <v>4828</v>
      </c>
      <c r="B4930" s="3" t="s">
        <v>4660</v>
      </c>
      <c r="C4930" s="3" t="s">
        <v>4835</v>
      </c>
      <c r="D4930" s="4" t="str">
        <f>HYPERLINK("https://12go.asia/en/travel/gurgaon/pathankot-cantt", "12Go Link")</f>
        <v>12Go Link</v>
      </c>
      <c r="E4930" s="3" t="s">
        <v>94</v>
      </c>
      <c r="K4930" s="5"/>
    </row>
    <row r="4931">
      <c r="A4931" s="3" t="s">
        <v>4828</v>
      </c>
      <c r="B4931" s="3" t="s">
        <v>3633</v>
      </c>
      <c r="C4931" s="3" t="s">
        <v>4836</v>
      </c>
      <c r="D4931" s="4" t="str">
        <f>HYPERLINK("https://12go.asia/en/travel/gurgaon/gogameri", "12Go Link")</f>
        <v>12Go Link</v>
      </c>
      <c r="E4931" s="3" t="s">
        <v>94</v>
      </c>
      <c r="K4931" s="5"/>
    </row>
    <row r="4932">
      <c r="A4932" s="3" t="s">
        <v>4828</v>
      </c>
      <c r="B4932" s="3" t="s">
        <v>4837</v>
      </c>
      <c r="C4932" s="3" t="s">
        <v>4838</v>
      </c>
      <c r="D4932" s="4" t="str">
        <f>HYPERLINK("https://12go.asia/en/travel/gurgaon/tanakpur", "12Go Link")</f>
        <v>12Go Link</v>
      </c>
      <c r="E4932" s="3" t="s">
        <v>94</v>
      </c>
      <c r="K4932" s="5"/>
    </row>
    <row r="4933">
      <c r="A4933" s="3" t="s">
        <v>4828</v>
      </c>
      <c r="B4933" s="3" t="s">
        <v>3666</v>
      </c>
      <c r="C4933" s="3" t="s">
        <v>4839</v>
      </c>
      <c r="D4933" s="4" t="str">
        <f>HYPERLINK("https://12go.asia/en/travel/gurgaon/mughal-sarai-junction", "12Go Link")</f>
        <v>12Go Link</v>
      </c>
      <c r="E4933" s="3" t="s">
        <v>94</v>
      </c>
      <c r="K4933" s="5"/>
    </row>
    <row r="4934">
      <c r="A4934" s="3" t="s">
        <v>3801</v>
      </c>
      <c r="B4934" s="3" t="s">
        <v>4840</v>
      </c>
      <c r="C4934" s="3" t="s">
        <v>4841</v>
      </c>
      <c r="D4934" s="4" t="str">
        <f>HYPERLINK("https://12go.asia/en/travel/guwahati/ayodhya", "12Go Link")</f>
        <v>12Go Link</v>
      </c>
      <c r="E4934" s="3" t="s">
        <v>94</v>
      </c>
      <c r="K4934" s="5"/>
    </row>
    <row r="4935">
      <c r="A4935" s="3" t="s">
        <v>3801</v>
      </c>
      <c r="B4935" s="3" t="s">
        <v>4277</v>
      </c>
      <c r="C4935" s="3" t="s">
        <v>4842</v>
      </c>
      <c r="D4935" s="4" t="str">
        <f>HYPERLINK("https://12go.asia/en/travel/guwahati/coimbatore", "12Go Link")</f>
        <v>12Go Link</v>
      </c>
      <c r="E4935" s="3" t="s">
        <v>94</v>
      </c>
      <c r="K4935" s="5"/>
    </row>
    <row r="4936">
      <c r="A4936" s="3" t="s">
        <v>3801</v>
      </c>
      <c r="B4936" s="3" t="s">
        <v>4843</v>
      </c>
      <c r="C4936" s="3" t="s">
        <v>4844</v>
      </c>
      <c r="D4936" s="4" t="str">
        <f>HYPERLINK("https://12go.asia/en/travel/guwahati/dharmanagar", "12Go Link")</f>
        <v>12Go Link</v>
      </c>
      <c r="E4936" s="3" t="s">
        <v>94</v>
      </c>
      <c r="K4936" s="5"/>
    </row>
    <row r="4937">
      <c r="A4937" s="3" t="s">
        <v>3801</v>
      </c>
      <c r="B4937" s="3" t="s">
        <v>4843</v>
      </c>
      <c r="C4937" s="3" t="s">
        <v>4845</v>
      </c>
      <c r="D4937" s="4" t="str">
        <f>HYPERLINK("https://12go.asia/en/travel/kamakhya/dharmanagar", "12Go Link")</f>
        <v>12Go Link</v>
      </c>
      <c r="E4937" s="3" t="s">
        <v>94</v>
      </c>
      <c r="K4937" s="5"/>
    </row>
    <row r="4938">
      <c r="A4938" s="3" t="s">
        <v>3801</v>
      </c>
      <c r="B4938" s="3" t="s">
        <v>4846</v>
      </c>
      <c r="C4938" s="3" t="s">
        <v>4847</v>
      </c>
      <c r="D4938" s="4" t="str">
        <f>HYPERLINK("https://12go.asia/en/travel/guwahati/falakata", "12Go Link")</f>
        <v>12Go Link</v>
      </c>
      <c r="E4938" s="3" t="s">
        <v>94</v>
      </c>
      <c r="K4938" s="5"/>
    </row>
    <row r="4939">
      <c r="A4939" s="3" t="s">
        <v>3801</v>
      </c>
      <c r="B4939" s="3" t="s">
        <v>4846</v>
      </c>
      <c r="C4939" s="3" t="s">
        <v>4848</v>
      </c>
      <c r="D4939" s="4" t="str">
        <f>HYPERLINK("https://12go.asia/en/travel/kamakhya/falakata", "12Go Link")</f>
        <v>12Go Link</v>
      </c>
      <c r="E4939" s="3" t="s">
        <v>94</v>
      </c>
      <c r="K4939" s="5"/>
    </row>
    <row r="4940">
      <c r="A4940" s="3" t="s">
        <v>3801</v>
      </c>
      <c r="B4940" s="3" t="s">
        <v>4849</v>
      </c>
      <c r="C4940" s="3" t="s">
        <v>4850</v>
      </c>
      <c r="D4940" s="4" t="str">
        <f>HYPERLINK("https://12go.asia/en/travel/guwahati/goalpara", "12Go Link")</f>
        <v>12Go Link</v>
      </c>
      <c r="E4940" s="3" t="s">
        <v>94</v>
      </c>
      <c r="K4940" s="5"/>
    </row>
    <row r="4941">
      <c r="A4941" s="3" t="s">
        <v>3801</v>
      </c>
      <c r="B4941" s="3" t="s">
        <v>4714</v>
      </c>
      <c r="C4941" s="3" t="s">
        <v>4851</v>
      </c>
      <c r="D4941" s="4" t="str">
        <f>HYPERLINK("https://12go.asia/en/travel/guwahati/golokganj", "12Go Link")</f>
        <v>12Go Link</v>
      </c>
      <c r="E4941" s="3" t="s">
        <v>94</v>
      </c>
      <c r="K4941" s="5"/>
    </row>
    <row r="4942">
      <c r="A4942" s="3" t="s">
        <v>3801</v>
      </c>
      <c r="B4942" s="3" t="s">
        <v>4714</v>
      </c>
      <c r="C4942" s="3" t="s">
        <v>4852</v>
      </c>
      <c r="D4942" s="4" t="str">
        <f>HYPERLINK("https://12go.asia/en/travel/kamakhya/golakganj-junction", "12Go Link")</f>
        <v>12Go Link</v>
      </c>
      <c r="E4942" s="3" t="s">
        <v>94</v>
      </c>
      <c r="K4942" s="5"/>
    </row>
    <row r="4943">
      <c r="A4943" s="3" t="s">
        <v>3801</v>
      </c>
      <c r="B4943" s="3" t="s">
        <v>4384</v>
      </c>
      <c r="C4943" s="3" t="s">
        <v>4853</v>
      </c>
      <c r="D4943" s="4" t="str">
        <f>HYPERLINK("https://12go.asia/en/travel/guwahati/gorakhpur", "12Go Link")</f>
        <v>12Go Link</v>
      </c>
      <c r="E4943" s="3" t="s">
        <v>94</v>
      </c>
      <c r="K4943" s="5"/>
    </row>
    <row r="4944">
      <c r="A4944" s="3" t="s">
        <v>3801</v>
      </c>
      <c r="B4944" s="3" t="s">
        <v>4384</v>
      </c>
      <c r="C4944" s="3" t="s">
        <v>4854</v>
      </c>
      <c r="D4944" s="4" t="str">
        <f>HYPERLINK("https://12go.asia/en/travel/kamakhya/gorakhpur", "12Go Link")</f>
        <v>12Go Link</v>
      </c>
      <c r="E4944" s="3" t="s">
        <v>94</v>
      </c>
      <c r="K4944" s="5"/>
    </row>
    <row r="4945">
      <c r="A4945" s="3" t="s">
        <v>3801</v>
      </c>
      <c r="B4945" s="3" t="s">
        <v>4593</v>
      </c>
      <c r="C4945" s="3" t="s">
        <v>4855</v>
      </c>
      <c r="D4945" s="4" t="str">
        <f>HYPERLINK("https://12go.asia/en/travel/guwahati/haryana", "12Go Link")</f>
        <v>12Go Link</v>
      </c>
      <c r="E4945" s="3" t="s">
        <v>94</v>
      </c>
      <c r="K4945" s="5"/>
    </row>
    <row r="4946">
      <c r="A4946" s="3" t="s">
        <v>3801</v>
      </c>
      <c r="B4946" s="3" t="s">
        <v>4856</v>
      </c>
      <c r="C4946" s="3" t="s">
        <v>4857</v>
      </c>
      <c r="D4946" s="4" t="str">
        <f>HYPERLINK("https://12go.asia/en/travel/guwahati/hasimara", "12Go Link")</f>
        <v>12Go Link</v>
      </c>
      <c r="E4946" s="3" t="s">
        <v>94</v>
      </c>
      <c r="K4946" s="5"/>
    </row>
    <row r="4947">
      <c r="A4947" s="3" t="s">
        <v>3801</v>
      </c>
      <c r="B4947" s="3" t="s">
        <v>4856</v>
      </c>
      <c r="C4947" s="3" t="s">
        <v>4858</v>
      </c>
      <c r="D4947" s="4" t="str">
        <f>HYPERLINK("https://12go.asia/en/travel/kamakhya/hasimara", "12Go Link")</f>
        <v>12Go Link</v>
      </c>
      <c r="E4947" s="3" t="s">
        <v>94</v>
      </c>
      <c r="K4947" s="5"/>
    </row>
    <row r="4948">
      <c r="A4948" s="3" t="s">
        <v>3801</v>
      </c>
      <c r="B4948" s="3" t="s">
        <v>4003</v>
      </c>
      <c r="C4948" s="3" t="s">
        <v>4859</v>
      </c>
      <c r="D4948" s="4" t="str">
        <f>HYPERLINK("https://12go.asia/en/travel/guwahati/jammu-and-kashmir", "12Go Link")</f>
        <v>12Go Link</v>
      </c>
      <c r="E4948" s="3" t="s">
        <v>94</v>
      </c>
      <c r="K4948" s="5"/>
    </row>
    <row r="4949">
      <c r="A4949" s="3" t="s">
        <v>3801</v>
      </c>
      <c r="B4949" s="3" t="s">
        <v>3587</v>
      </c>
      <c r="C4949" s="3" t="s">
        <v>4860</v>
      </c>
      <c r="D4949" s="4" t="str">
        <f>HYPERLINK("https://12go.asia/en/travel/guwahati/karimganj", "12Go Link")</f>
        <v>12Go Link</v>
      </c>
      <c r="E4949" s="3" t="s">
        <v>94</v>
      </c>
      <c r="K4949" s="5"/>
    </row>
    <row r="4950">
      <c r="A4950" s="3" t="s">
        <v>3801</v>
      </c>
      <c r="B4950" s="3" t="s">
        <v>3587</v>
      </c>
      <c r="C4950" s="3" t="s">
        <v>4861</v>
      </c>
      <c r="D4950" s="4" t="str">
        <f>HYPERLINK("https://12go.asia/en/travel/guwahati/new-karimganj", "12Go Link")</f>
        <v>12Go Link</v>
      </c>
      <c r="E4950" s="3" t="s">
        <v>94</v>
      </c>
      <c r="K4950" s="5"/>
    </row>
    <row r="4951">
      <c r="A4951" s="3" t="s">
        <v>3801</v>
      </c>
      <c r="B4951" s="3" t="s">
        <v>3587</v>
      </c>
      <c r="C4951" s="3" t="s">
        <v>4862</v>
      </c>
      <c r="D4951" s="4" t="str">
        <f>HYPERLINK("https://12go.asia/en/travel/kamakhya/new-karimganj", "12Go Link")</f>
        <v>12Go Link</v>
      </c>
      <c r="E4951" s="3" t="s">
        <v>94</v>
      </c>
      <c r="K4951" s="5"/>
    </row>
    <row r="4952">
      <c r="A4952" s="3" t="s">
        <v>3801</v>
      </c>
      <c r="B4952" s="3" t="s">
        <v>3730</v>
      </c>
      <c r="C4952" s="3" t="s">
        <v>4863</v>
      </c>
      <c r="D4952" s="4" t="str">
        <f>HYPERLINK("https://12go.asia/en/travel/guwahati/kerala", "12Go Link")</f>
        <v>12Go Link</v>
      </c>
      <c r="E4952" s="3" t="s">
        <v>94</v>
      </c>
      <c r="K4952" s="5"/>
    </row>
    <row r="4953">
      <c r="A4953" s="3" t="s">
        <v>3801</v>
      </c>
      <c r="B4953" s="3" t="s">
        <v>4864</v>
      </c>
      <c r="C4953" s="3" t="s">
        <v>4865</v>
      </c>
      <c r="D4953" s="4" t="str">
        <f>HYPERLINK("https://12go.asia/en/travel/guwahati/khandwa", "12Go Link")</f>
        <v>12Go Link</v>
      </c>
      <c r="E4953" s="3" t="s">
        <v>94</v>
      </c>
      <c r="K4953" s="5"/>
    </row>
    <row r="4954">
      <c r="A4954" s="3" t="s">
        <v>3801</v>
      </c>
      <c r="B4954" s="3" t="s">
        <v>4864</v>
      </c>
      <c r="C4954" s="3" t="s">
        <v>4866</v>
      </c>
      <c r="D4954" s="4" t="str">
        <f>HYPERLINK("https://12go.asia/en/travel/kamakhya/khandwa", "12Go Link")</f>
        <v>12Go Link</v>
      </c>
      <c r="E4954" s="3" t="s">
        <v>94</v>
      </c>
      <c r="K4954" s="5"/>
    </row>
    <row r="4955">
      <c r="A4955" s="3" t="s">
        <v>3801</v>
      </c>
      <c r="B4955" s="3" t="s">
        <v>4684</v>
      </c>
      <c r="C4955" s="3" t="s">
        <v>4867</v>
      </c>
      <c r="D4955" s="4" t="str">
        <f>HYPERLINK("https://12go.asia/en/travel/guwahati/malda", "12Go Link")</f>
        <v>12Go Link</v>
      </c>
      <c r="E4955" s="3" t="s">
        <v>94</v>
      </c>
      <c r="K4955" s="5"/>
    </row>
    <row r="4956">
      <c r="A4956" s="3" t="s">
        <v>3801</v>
      </c>
      <c r="B4956" s="3" t="s">
        <v>4684</v>
      </c>
      <c r="C4956" s="3" t="s">
        <v>4868</v>
      </c>
      <c r="D4956" s="4" t="str">
        <f>HYPERLINK("https://12go.asia/en/travel/guwahati/malda-town", "12Go Link")</f>
        <v>12Go Link</v>
      </c>
      <c r="E4956" s="3" t="s">
        <v>94</v>
      </c>
      <c r="K4956" s="5"/>
    </row>
    <row r="4957">
      <c r="A4957" s="3" t="s">
        <v>3801</v>
      </c>
      <c r="B4957" s="3" t="s">
        <v>4530</v>
      </c>
      <c r="C4957" s="3" t="s">
        <v>4869</v>
      </c>
      <c r="D4957" s="4" t="str">
        <f>HYPERLINK("https://12go.asia/en/travel/guwahati/muzaffarpur-junction", "12Go Link")</f>
        <v>12Go Link</v>
      </c>
      <c r="E4957" s="3" t="s">
        <v>94</v>
      </c>
      <c r="K4957" s="5"/>
    </row>
    <row r="4958">
      <c r="A4958" s="3" t="s">
        <v>3801</v>
      </c>
      <c r="B4958" s="3" t="s">
        <v>4530</v>
      </c>
      <c r="C4958" s="3" t="s">
        <v>4870</v>
      </c>
      <c r="D4958" s="4" t="str">
        <f>HYPERLINK("https://12go.asia/en/travel/kamakhya/muzaffarpur-junction", "12Go Link")</f>
        <v>12Go Link</v>
      </c>
      <c r="E4958" s="3" t="s">
        <v>94</v>
      </c>
      <c r="K4958" s="5"/>
    </row>
    <row r="4959">
      <c r="A4959" s="3" t="s">
        <v>3801</v>
      </c>
      <c r="B4959" s="3" t="s">
        <v>3752</v>
      </c>
      <c r="C4959" s="3" t="s">
        <v>4871</v>
      </c>
      <c r="D4959" s="4" t="str">
        <f>HYPERLINK("https://12go.asia/en/travel/guwahati/prayagraj", "12Go Link")</f>
        <v>12Go Link</v>
      </c>
      <c r="E4959" s="3" t="s">
        <v>94</v>
      </c>
      <c r="K4959" s="5"/>
    </row>
    <row r="4960">
      <c r="A4960" s="3" t="s">
        <v>3801</v>
      </c>
      <c r="B4960" s="3" t="s">
        <v>3752</v>
      </c>
      <c r="C4960" s="3" t="s">
        <v>4872</v>
      </c>
      <c r="D4960" s="4" t="str">
        <f>HYPERLINK("https://12go.asia/en/travel/kamakhya/prayagraj-junction", "12Go Link")</f>
        <v>12Go Link</v>
      </c>
      <c r="E4960" s="3" t="s">
        <v>94</v>
      </c>
      <c r="K4960" s="5"/>
    </row>
    <row r="4961">
      <c r="A4961" s="3" t="s">
        <v>3801</v>
      </c>
      <c r="B4961" s="3" t="s">
        <v>3593</v>
      </c>
      <c r="C4961" s="3" t="s">
        <v>4873</v>
      </c>
      <c r="D4961" s="4" t="str">
        <f>HYPERLINK("https://12go.asia/en/travel/guwahati/rampur-hat", "12Go Link")</f>
        <v>12Go Link</v>
      </c>
      <c r="E4961" s="3" t="s">
        <v>94</v>
      </c>
      <c r="K4961" s="5"/>
    </row>
    <row r="4962">
      <c r="A4962" s="3" t="s">
        <v>3801</v>
      </c>
      <c r="B4962" s="3" t="s">
        <v>3593</v>
      </c>
      <c r="C4962" s="3" t="s">
        <v>4874</v>
      </c>
      <c r="D4962" s="4" t="str">
        <f>HYPERLINK("https://12go.asia/en/travel/kamakhya/rampur-hat", "12Go Link")</f>
        <v>12Go Link</v>
      </c>
      <c r="E4962" s="3" t="s">
        <v>94</v>
      </c>
      <c r="K4962" s="5"/>
    </row>
    <row r="4963">
      <c r="A4963" s="3" t="s">
        <v>3801</v>
      </c>
      <c r="B4963" s="3" t="s">
        <v>4367</v>
      </c>
      <c r="C4963" s="3" t="s">
        <v>4875</v>
      </c>
      <c r="D4963" s="4" t="str">
        <f>HYPERLINK("https://12go.asia/en/travel/guwahati/tamil-nadu", "12Go Link")</f>
        <v>12Go Link</v>
      </c>
      <c r="E4963" s="3" t="s">
        <v>94</v>
      </c>
      <c r="K4963" s="5"/>
    </row>
    <row r="4964">
      <c r="A4964" s="3" t="s">
        <v>3801</v>
      </c>
      <c r="B4964" s="3" t="s">
        <v>4106</v>
      </c>
      <c r="C4964" s="3" t="s">
        <v>4876</v>
      </c>
      <c r="D4964" s="4" t="str">
        <f>HYPERLINK("https://12go.asia/en/travel/guwahati/tundla", "12Go Link")</f>
        <v>12Go Link</v>
      </c>
      <c r="E4964" s="3" t="s">
        <v>94</v>
      </c>
      <c r="K4964" s="5"/>
    </row>
    <row r="4965">
      <c r="A4965" s="3" t="s">
        <v>3801</v>
      </c>
      <c r="B4965" s="3" t="s">
        <v>4106</v>
      </c>
      <c r="C4965" s="3" t="s">
        <v>4877</v>
      </c>
      <c r="D4965" s="4" t="str">
        <f>HYPERLINK("https://12go.asia/en/travel/kamakhya/tundla-junction", "12Go Link")</f>
        <v>12Go Link</v>
      </c>
      <c r="E4965" s="3" t="s">
        <v>94</v>
      </c>
      <c r="K4965" s="5"/>
    </row>
    <row r="4966">
      <c r="A4966" s="3" t="s">
        <v>4396</v>
      </c>
      <c r="B4966" s="3" t="s">
        <v>3598</v>
      </c>
      <c r="C4966" s="3" t="s">
        <v>4878</v>
      </c>
      <c r="D4966" s="4" t="str">
        <f>HYPERLINK("https://12go.asia/en/travel/gwalior-jn/agra-fort", "12Go Link")</f>
        <v>12Go Link</v>
      </c>
      <c r="E4966" s="3" t="s">
        <v>94</v>
      </c>
      <c r="K4966" s="5"/>
    </row>
    <row r="4967">
      <c r="A4967" s="3" t="s">
        <v>4396</v>
      </c>
      <c r="B4967" s="3" t="s">
        <v>3841</v>
      </c>
      <c r="C4967" s="3" t="s">
        <v>4879</v>
      </c>
      <c r="D4967" s="4" t="str">
        <f>HYPERLINK("https://12go.asia/en/travel/gwalior-jn/banda-junction", "12Go Link")</f>
        <v>12Go Link</v>
      </c>
      <c r="E4967" s="3" t="s">
        <v>94</v>
      </c>
      <c r="K4967" s="5"/>
    </row>
    <row r="4968">
      <c r="A4968" s="3" t="s">
        <v>4396</v>
      </c>
      <c r="B4968" s="3" t="s">
        <v>3841</v>
      </c>
      <c r="C4968" s="3" t="s">
        <v>4880</v>
      </c>
      <c r="D4968" s="4" t="str">
        <f>HYPERLINK("https://12go.asia/en/travel/gwalior/banda-india", "12Go Link")</f>
        <v>12Go Link</v>
      </c>
      <c r="E4968" s="3" t="s">
        <v>94</v>
      </c>
      <c r="K4968" s="5"/>
    </row>
    <row r="4969">
      <c r="A4969" s="3" t="s">
        <v>4396</v>
      </c>
      <c r="B4969" s="3" t="s">
        <v>3810</v>
      </c>
      <c r="C4969" s="3" t="s">
        <v>4881</v>
      </c>
      <c r="D4969" s="4" t="str">
        <f>HYPERLINK("https://12go.asia/en/travel/gwalior-jn/barauni-junction", "12Go Link")</f>
        <v>12Go Link</v>
      </c>
      <c r="E4969" s="3" t="s">
        <v>94</v>
      </c>
      <c r="K4969" s="5"/>
    </row>
    <row r="4970">
      <c r="A4970" s="3" t="s">
        <v>4396</v>
      </c>
      <c r="B4970" s="3" t="s">
        <v>3810</v>
      </c>
      <c r="C4970" s="3" t="s">
        <v>4882</v>
      </c>
      <c r="D4970" s="4" t="str">
        <f>HYPERLINK("https://12go.asia/en/travel/gwalior/barauni", "12Go Link")</f>
        <v>12Go Link</v>
      </c>
      <c r="E4970" s="3" t="s">
        <v>94</v>
      </c>
      <c r="K4970" s="5"/>
    </row>
    <row r="4971">
      <c r="A4971" s="3" t="s">
        <v>4396</v>
      </c>
      <c r="B4971" s="3" t="s">
        <v>3599</v>
      </c>
      <c r="C4971" s="3" t="s">
        <v>4883</v>
      </c>
      <c r="D4971" s="4" t="str">
        <f>HYPERLINK("https://12go.asia/en/travel/gwalior-jn/kopargaon", "12Go Link")</f>
        <v>12Go Link</v>
      </c>
      <c r="E4971" s="3" t="s">
        <v>94</v>
      </c>
      <c r="K4971" s="5"/>
    </row>
    <row r="4972">
      <c r="A4972" s="3" t="s">
        <v>4396</v>
      </c>
      <c r="B4972" s="3" t="s">
        <v>3599</v>
      </c>
      <c r="C4972" s="3" t="s">
        <v>4884</v>
      </c>
      <c r="D4972" s="4" t="str">
        <f>HYPERLINK("https://12go.asia/en/travel/gwalior/kopargaon", "12Go Link")</f>
        <v>12Go Link</v>
      </c>
      <c r="E4972" s="3" t="s">
        <v>94</v>
      </c>
      <c r="K4972" s="5"/>
    </row>
    <row r="4973">
      <c r="A4973" s="3" t="s">
        <v>4396</v>
      </c>
      <c r="B4973" s="3" t="s">
        <v>4885</v>
      </c>
      <c r="C4973" s="3" t="s">
        <v>4886</v>
      </c>
      <c r="D4973" s="4" t="str">
        <f>HYPERLINK("https://12go.asia/en/travel/gwalior-jn/kosi-kalan", "12Go Link")</f>
        <v>12Go Link</v>
      </c>
      <c r="E4973" s="3" t="s">
        <v>94</v>
      </c>
      <c r="K4973" s="5"/>
    </row>
    <row r="4974">
      <c r="A4974" s="3" t="s">
        <v>4396</v>
      </c>
      <c r="B4974" s="3" t="s">
        <v>4885</v>
      </c>
      <c r="C4974" s="3" t="s">
        <v>4887</v>
      </c>
      <c r="D4974" s="4" t="str">
        <f>HYPERLINK("https://12go.asia/en/travel/gwalior/kosi-kalan", "12Go Link")</f>
        <v>12Go Link</v>
      </c>
      <c r="E4974" s="3" t="s">
        <v>94</v>
      </c>
      <c r="K4974" s="5"/>
    </row>
    <row r="4975">
      <c r="A4975" s="3" t="s">
        <v>4396</v>
      </c>
      <c r="B4975" s="3" t="s">
        <v>165</v>
      </c>
      <c r="C4975" s="3" t="s">
        <v>4888</v>
      </c>
      <c r="D4975" s="4" t="str">
        <f>HYPERLINK("https://12go.asia/en/travel/gwalior/margao", "12Go Link")</f>
        <v>12Go Link</v>
      </c>
      <c r="E4975" s="3" t="s">
        <v>94</v>
      </c>
      <c r="K4975" s="5"/>
    </row>
    <row r="4976">
      <c r="A4976" s="3" t="s">
        <v>4396</v>
      </c>
      <c r="B4976" s="3" t="s">
        <v>3970</v>
      </c>
      <c r="C4976" s="3" t="s">
        <v>4889</v>
      </c>
      <c r="D4976" s="4" t="str">
        <f>HYPERLINK("https://12go.asia/en/travel/gwalior/navi-mumbai", "12Go Link")</f>
        <v>12Go Link</v>
      </c>
      <c r="E4976" s="3" t="s">
        <v>94</v>
      </c>
      <c r="K4976" s="5"/>
    </row>
    <row r="4977">
      <c r="A4977" s="3" t="s">
        <v>4396</v>
      </c>
      <c r="B4977" s="3" t="s">
        <v>4410</v>
      </c>
      <c r="C4977" s="3" t="s">
        <v>4890</v>
      </c>
      <c r="D4977" s="4" t="str">
        <f>HYPERLINK("https://12go.asia/en/travel/gwalior-jn/pipariya", "12Go Link")</f>
        <v>12Go Link</v>
      </c>
      <c r="E4977" s="3" t="s">
        <v>94</v>
      </c>
      <c r="K4977" s="5"/>
    </row>
    <row r="4978">
      <c r="A4978" s="3" t="s">
        <v>4396</v>
      </c>
      <c r="B4978" s="3" t="s">
        <v>4410</v>
      </c>
      <c r="C4978" s="3" t="s">
        <v>4891</v>
      </c>
      <c r="D4978" s="4" t="str">
        <f>HYPERLINK("https://12go.asia/en/travel/gwalior/pipariya", "12Go Link")</f>
        <v>12Go Link</v>
      </c>
      <c r="E4978" s="3" t="s">
        <v>94</v>
      </c>
      <c r="K4978" s="5"/>
    </row>
    <row r="4979">
      <c r="A4979" s="3" t="s">
        <v>4396</v>
      </c>
      <c r="B4979" s="3" t="s">
        <v>3972</v>
      </c>
      <c r="C4979" s="3" t="s">
        <v>4892</v>
      </c>
      <c r="D4979" s="4" t="str">
        <f>HYPERLINK("https://12go.asia/en/travel/gwalior/pushkar", "12Go Link")</f>
        <v>12Go Link</v>
      </c>
      <c r="E4979" s="3" t="s">
        <v>94</v>
      </c>
      <c r="K4979" s="5"/>
    </row>
    <row r="4980">
      <c r="A4980" s="3" t="s">
        <v>4396</v>
      </c>
      <c r="B4980" s="3" t="s">
        <v>4077</v>
      </c>
      <c r="C4980" s="3" t="s">
        <v>4893</v>
      </c>
      <c r="D4980" s="4" t="str">
        <f>HYPERLINK("https://12go.asia/en/travel/gwalior-jn/saugor", "12Go Link")</f>
        <v>12Go Link</v>
      </c>
      <c r="E4980" s="3" t="s">
        <v>94</v>
      </c>
      <c r="K4980" s="5"/>
    </row>
    <row r="4981">
      <c r="A4981" s="3" t="s">
        <v>4396</v>
      </c>
      <c r="B4981" s="3" t="s">
        <v>4077</v>
      </c>
      <c r="C4981" s="3" t="s">
        <v>4894</v>
      </c>
      <c r="D4981" s="4" t="str">
        <f>HYPERLINK("https://12go.asia/en/travel/gwalior/sagar", "12Go Link")</f>
        <v>12Go Link</v>
      </c>
      <c r="E4981" s="3" t="s">
        <v>94</v>
      </c>
      <c r="K4981" s="5"/>
    </row>
    <row r="4982">
      <c r="A4982" s="3" t="s">
        <v>4396</v>
      </c>
      <c r="B4982" s="3" t="s">
        <v>4772</v>
      </c>
      <c r="C4982" s="3" t="s">
        <v>4895</v>
      </c>
      <c r="D4982" s="4" t="str">
        <f>HYPERLINK("https://12go.asia/en/travel/gwalior-jn/satna", "12Go Link")</f>
        <v>12Go Link</v>
      </c>
      <c r="E4982" s="3" t="s">
        <v>94</v>
      </c>
      <c r="K4982" s="5"/>
    </row>
    <row r="4983">
      <c r="A4983" s="3" t="s">
        <v>4396</v>
      </c>
      <c r="B4983" s="3" t="s">
        <v>4099</v>
      </c>
      <c r="C4983" s="3" t="s">
        <v>4896</v>
      </c>
      <c r="D4983" s="4" t="str">
        <f>HYPERLINK("https://12go.asia/en/travel/gwalior/shirdi", "12Go Link")</f>
        <v>12Go Link</v>
      </c>
      <c r="E4983" s="3" t="s">
        <v>94</v>
      </c>
      <c r="K4983" s="5"/>
    </row>
    <row r="4984">
      <c r="A4984" s="3" t="s">
        <v>4396</v>
      </c>
      <c r="B4984" s="3" t="s">
        <v>4106</v>
      </c>
      <c r="C4984" s="3" t="s">
        <v>4897</v>
      </c>
      <c r="D4984" s="4" t="str">
        <f>HYPERLINK("https://12go.asia/en/travel/gwalior-jn/tundla-junction", "12Go Link")</f>
        <v>12Go Link</v>
      </c>
      <c r="E4984" s="3" t="s">
        <v>94</v>
      </c>
      <c r="K4984" s="5"/>
    </row>
    <row r="4985">
      <c r="A4985" s="3" t="s">
        <v>4396</v>
      </c>
      <c r="B4985" s="3" t="s">
        <v>4106</v>
      </c>
      <c r="C4985" s="3" t="s">
        <v>4898</v>
      </c>
      <c r="D4985" s="4" t="str">
        <f>HYPERLINK("https://12go.asia/en/travel/gwalior/tundla", "12Go Link")</f>
        <v>12Go Link</v>
      </c>
      <c r="E4985" s="3" t="s">
        <v>94</v>
      </c>
      <c r="K4985" s="5"/>
    </row>
    <row r="4986">
      <c r="A4986" s="3" t="s">
        <v>4899</v>
      </c>
      <c r="B4986" s="3" t="s">
        <v>3675</v>
      </c>
      <c r="C4986" s="3" t="s">
        <v>4900</v>
      </c>
      <c r="D4986" s="4" t="str">
        <f>HYPERLINK("https://12go.asia/en/travel/hapur/bareilly", "12Go Link")</f>
        <v>12Go Link</v>
      </c>
      <c r="E4986" s="3" t="s">
        <v>94</v>
      </c>
      <c r="K4986" s="5"/>
    </row>
    <row r="4987">
      <c r="A4987" s="3" t="s">
        <v>4899</v>
      </c>
      <c r="B4987" s="3" t="s">
        <v>4901</v>
      </c>
      <c r="C4987" s="3" t="s">
        <v>4902</v>
      </c>
      <c r="D4987" s="4" t="str">
        <f>HYPERLINK("https://12go.asia/en/travel/hapur/moradabad", "12Go Link")</f>
        <v>12Go Link</v>
      </c>
      <c r="E4987" s="3" t="s">
        <v>94</v>
      </c>
      <c r="K4987" s="5"/>
    </row>
    <row r="4988">
      <c r="A4988" s="3" t="s">
        <v>4903</v>
      </c>
      <c r="B4988" s="3" t="s">
        <v>3647</v>
      </c>
      <c r="C4988" s="3" t="s">
        <v>4904</v>
      </c>
      <c r="D4988" s="4" t="str">
        <f>HYPERLINK("https://12go.asia/en/travel/hardoi/anand-vihar-trm", "12Go Link")</f>
        <v>12Go Link</v>
      </c>
      <c r="E4988" s="3" t="s">
        <v>94</v>
      </c>
      <c r="K4988" s="5"/>
    </row>
    <row r="4989">
      <c r="A4989" s="3" t="s">
        <v>4903</v>
      </c>
      <c r="B4989" s="3" t="s">
        <v>3842</v>
      </c>
      <c r="C4989" s="3" t="s">
        <v>4905</v>
      </c>
      <c r="D4989" s="4" t="str">
        <f>HYPERLINK("https://12go.asia/en/travel/hardoi/new-delhi", "12Go Link")</f>
        <v>12Go Link</v>
      </c>
      <c r="E4989" s="3" t="s">
        <v>94</v>
      </c>
      <c r="K4989" s="5"/>
    </row>
    <row r="4990">
      <c r="A4990" s="3" t="s">
        <v>3655</v>
      </c>
      <c r="B4990" s="3" t="s">
        <v>4012</v>
      </c>
      <c r="C4990" s="3" t="s">
        <v>4906</v>
      </c>
      <c r="D4990" s="4" t="str">
        <f>HYPERLINK("https://12go.asia/en/travel/haridwar-jn/bharuch-junction", "12Go Link")</f>
        <v>12Go Link</v>
      </c>
      <c r="E4990" s="3" t="s">
        <v>94</v>
      </c>
      <c r="K4990" s="5"/>
    </row>
    <row r="4991">
      <c r="A4991" s="3" t="s">
        <v>3655</v>
      </c>
      <c r="B4991" s="3" t="s">
        <v>4012</v>
      </c>
      <c r="C4991" s="3" t="s">
        <v>4907</v>
      </c>
      <c r="D4991" s="4" t="str">
        <f>HYPERLINK("https://12go.asia/en/travel/haridwar/bharuch", "12Go Link")</f>
        <v>12Go Link</v>
      </c>
      <c r="E4991" s="3" t="s">
        <v>94</v>
      </c>
      <c r="K4991" s="5"/>
    </row>
    <row r="4992">
      <c r="A4992" s="3" t="s">
        <v>3655</v>
      </c>
      <c r="B4992" s="3" t="s">
        <v>3649</v>
      </c>
      <c r="C4992" s="3" t="s">
        <v>4908</v>
      </c>
      <c r="D4992" s="4" t="str">
        <f>HYPERLINK("https://12go.asia/en/travel/haridwar-jn/ayodhya-cantt", "12Go Link")</f>
        <v>12Go Link</v>
      </c>
      <c r="E4992" s="3" t="s">
        <v>94</v>
      </c>
      <c r="K4992" s="5"/>
    </row>
    <row r="4993">
      <c r="A4993" s="3" t="s">
        <v>3655</v>
      </c>
      <c r="B4993" s="3" t="s">
        <v>186</v>
      </c>
      <c r="C4993" s="3" t="s">
        <v>4909</v>
      </c>
      <c r="D4993" s="4" t="str">
        <f>HYPERLINK("https://12go.asia/en/travel/haridwar-jn/vadodara", "12Go Link")</f>
        <v>12Go Link</v>
      </c>
      <c r="E4993" s="3" t="s">
        <v>94</v>
      </c>
      <c r="K4993" s="5"/>
    </row>
    <row r="4994">
      <c r="A4994" s="3" t="s">
        <v>3817</v>
      </c>
      <c r="B4994" s="3" t="s">
        <v>3964</v>
      </c>
      <c r="C4994" s="3" t="s">
        <v>4910</v>
      </c>
      <c r="D4994" s="4" t="str">
        <f>HYPERLINK("https://12go.asia/en/travel/hassan/belagavi", "12Go Link")</f>
        <v>12Go Link</v>
      </c>
      <c r="E4994" s="3" t="s">
        <v>94</v>
      </c>
      <c r="K4994" s="5"/>
    </row>
    <row r="4995">
      <c r="A4995" s="3" t="s">
        <v>3817</v>
      </c>
      <c r="B4995" s="3" t="s">
        <v>3964</v>
      </c>
      <c r="C4995" s="3" t="s">
        <v>4911</v>
      </c>
      <c r="D4995" s="4" t="str">
        <f>HYPERLINK("https://12go.asia/en/travel/hassan/belgaum", "12Go Link")</f>
        <v>12Go Link</v>
      </c>
      <c r="E4995" s="3" t="s">
        <v>94</v>
      </c>
      <c r="K4995" s="5"/>
    </row>
    <row r="4996">
      <c r="A4996" s="3" t="s">
        <v>3817</v>
      </c>
      <c r="B4996" s="3" t="s">
        <v>3874</v>
      </c>
      <c r="C4996" s="3" t="s">
        <v>4912</v>
      </c>
      <c r="D4996" s="4" t="str">
        <f>HYPERLINK("https://12go.asia/en/travel/hassan/davanagere", "12Go Link")</f>
        <v>12Go Link</v>
      </c>
      <c r="E4996" s="3" t="s">
        <v>94</v>
      </c>
      <c r="K4996" s="5"/>
    </row>
    <row r="4997">
      <c r="A4997" s="3" t="s">
        <v>3817</v>
      </c>
      <c r="B4997" s="3" t="s">
        <v>3874</v>
      </c>
      <c r="C4997" s="3" t="s">
        <v>4913</v>
      </c>
      <c r="D4997" s="4" t="str">
        <f>HYPERLINK("https://12go.asia/en/travel/hassan/davangere", "12Go Link")</f>
        <v>12Go Link</v>
      </c>
      <c r="E4997" s="3" t="s">
        <v>94</v>
      </c>
      <c r="K4997" s="5"/>
    </row>
    <row r="4998">
      <c r="A4998" s="3" t="s">
        <v>4914</v>
      </c>
      <c r="B4998" s="3" t="s">
        <v>4915</v>
      </c>
      <c r="C4998" s="3" t="s">
        <v>4916</v>
      </c>
      <c r="D4998" s="4" t="str">
        <f>HYPERLINK("https://12go.asia/en/travel/hosapete/bagalkote", "12Go Link")</f>
        <v>12Go Link</v>
      </c>
      <c r="E4998" s="3" t="s">
        <v>94</v>
      </c>
      <c r="K4998" s="5"/>
    </row>
    <row r="4999">
      <c r="A4999" s="3" t="s">
        <v>4914</v>
      </c>
      <c r="B4999" s="3" t="s">
        <v>3847</v>
      </c>
      <c r="C4999" s="3" t="s">
        <v>4917</v>
      </c>
      <c r="D4999" s="4" t="str">
        <f>HYPERLINK("https://12go.asia/en/travel/hospet-jn/new-bengaluru-terminal", "12Go Link")</f>
        <v>12Go Link</v>
      </c>
      <c r="E4999" s="3" t="s">
        <v>94</v>
      </c>
      <c r="K4999" s="5"/>
    </row>
    <row r="5000">
      <c r="A5000" s="3" t="s">
        <v>4914</v>
      </c>
      <c r="B5000" s="3" t="s">
        <v>3682</v>
      </c>
      <c r="C5000" s="3" t="s">
        <v>4918</v>
      </c>
      <c r="D5000" s="4" t="str">
        <f>HYPERLINK("https://12go.asia/en/travel/hosapete/kalyan", "12Go Link")</f>
        <v>12Go Link</v>
      </c>
      <c r="E5000" s="3" t="s">
        <v>94</v>
      </c>
      <c r="K5000" s="5"/>
    </row>
    <row r="5001">
      <c r="A5001" s="3" t="s">
        <v>4914</v>
      </c>
      <c r="B5001" s="3" t="s">
        <v>3682</v>
      </c>
      <c r="C5001" s="3" t="s">
        <v>4919</v>
      </c>
      <c r="D5001" s="4" t="str">
        <f>HYPERLINK("https://12go.asia/en/travel/hospet-jn/kalyan-jn", "12Go Link")</f>
        <v>12Go Link</v>
      </c>
      <c r="E5001" s="3" t="s">
        <v>94</v>
      </c>
      <c r="K5001" s="5"/>
    </row>
    <row r="5002">
      <c r="A5002" s="3" t="s">
        <v>4914</v>
      </c>
      <c r="B5002" s="3" t="s">
        <v>160</v>
      </c>
      <c r="C5002" s="3" t="s">
        <v>4920</v>
      </c>
      <c r="D5002" s="4" t="str">
        <f>HYPERLINK("https://12go.asia/en/travel/hosapete/kurnool", "12Go Link")</f>
        <v>12Go Link</v>
      </c>
      <c r="E5002" s="3" t="s">
        <v>94</v>
      </c>
      <c r="K5002" s="5"/>
    </row>
    <row r="5003">
      <c r="A5003" s="3" t="s">
        <v>4914</v>
      </c>
      <c r="B5003" s="3" t="s">
        <v>160</v>
      </c>
      <c r="C5003" s="3" t="s">
        <v>4921</v>
      </c>
      <c r="D5003" s="4" t="str">
        <f>HYPERLINK("https://12go.asia/en/travel/hospet-jn/kurnool-town", "12Go Link")</f>
        <v>12Go Link</v>
      </c>
      <c r="E5003" s="3" t="s">
        <v>94</v>
      </c>
      <c r="K5003" s="5"/>
    </row>
    <row r="5004">
      <c r="A5004" s="3" t="s">
        <v>4914</v>
      </c>
      <c r="B5004" s="3" t="s">
        <v>4922</v>
      </c>
      <c r="C5004" s="3" t="s">
        <v>4923</v>
      </c>
      <c r="D5004" s="4" t="str">
        <f>HYPERLINK("https://12go.asia/en/travel/hosapete/thane", "12Go Link")</f>
        <v>12Go Link</v>
      </c>
      <c r="E5004" s="3" t="s">
        <v>94</v>
      </c>
      <c r="K5004" s="5"/>
    </row>
    <row r="5005">
      <c r="A5005" s="3" t="s">
        <v>4914</v>
      </c>
      <c r="B5005" s="3" t="s">
        <v>4922</v>
      </c>
      <c r="C5005" s="3" t="s">
        <v>4924</v>
      </c>
      <c r="D5005" s="4" t="str">
        <f>HYPERLINK("https://12go.asia/en/travel/hospet-jn/thane", "12Go Link")</f>
        <v>12Go Link</v>
      </c>
      <c r="E5005" s="3" t="s">
        <v>94</v>
      </c>
      <c r="K5005" s="5"/>
    </row>
    <row r="5006">
      <c r="A5006" s="3" t="s">
        <v>4925</v>
      </c>
      <c r="B5006" s="3" t="s">
        <v>4637</v>
      </c>
      <c r="C5006" s="3" t="s">
        <v>4926</v>
      </c>
      <c r="D5006" s="4" t="str">
        <f>HYPERLINK("https://12go.asia/en/travel/hosur/erode", "12Go Link")</f>
        <v>12Go Link</v>
      </c>
      <c r="E5006" s="3" t="s">
        <v>94</v>
      </c>
      <c r="K5006" s="5"/>
    </row>
    <row r="5007">
      <c r="A5007" s="3" t="s">
        <v>4925</v>
      </c>
      <c r="B5007" s="3" t="s">
        <v>3730</v>
      </c>
      <c r="C5007" s="3" t="s">
        <v>4927</v>
      </c>
      <c r="D5007" s="4" t="str">
        <f>HYPERLINK("https://12go.asia/en/travel/hosur/kerala", "12Go Link")</f>
        <v>12Go Link</v>
      </c>
      <c r="E5007" s="3" t="s">
        <v>94</v>
      </c>
      <c r="K5007" s="5"/>
    </row>
    <row r="5008">
      <c r="A5008" s="3" t="s">
        <v>3701</v>
      </c>
      <c r="B5008" s="3" t="s">
        <v>3675</v>
      </c>
      <c r="C5008" s="3" t="s">
        <v>4928</v>
      </c>
      <c r="D5008" s="4" t="str">
        <f>HYPERLINK("https://12go.asia/en/travel/howrah/bareilly", "12Go Link")</f>
        <v>12Go Link</v>
      </c>
      <c r="E5008" s="3" t="s">
        <v>94</v>
      </c>
      <c r="K5008" s="5"/>
    </row>
    <row r="5009">
      <c r="A5009" s="3" t="s">
        <v>3701</v>
      </c>
      <c r="B5009" s="3" t="s">
        <v>4483</v>
      </c>
      <c r="C5009" s="3" t="s">
        <v>4929</v>
      </c>
      <c r="D5009" s="4" t="str">
        <f>HYPERLINK("https://12go.asia/en/travel/howrah/barsoi", "12Go Link")</f>
        <v>12Go Link</v>
      </c>
      <c r="E5009" s="3" t="s">
        <v>94</v>
      </c>
      <c r="K5009" s="5"/>
    </row>
    <row r="5010">
      <c r="A5010" s="3" t="s">
        <v>3701</v>
      </c>
      <c r="B5010" s="3" t="s">
        <v>4483</v>
      </c>
      <c r="C5010" s="3" t="s">
        <v>4930</v>
      </c>
      <c r="D5010" s="4" t="str">
        <f>HYPERLINK("https://12go.asia/en/travel/howrah/barsoi-junction", "12Go Link")</f>
        <v>12Go Link</v>
      </c>
      <c r="E5010" s="3" t="s">
        <v>94</v>
      </c>
      <c r="K5010" s="5"/>
    </row>
    <row r="5011">
      <c r="A5011" s="3" t="s">
        <v>3701</v>
      </c>
      <c r="B5011" s="3" t="s">
        <v>3952</v>
      </c>
      <c r="C5011" s="3" t="s">
        <v>4931</v>
      </c>
      <c r="D5011" s="4" t="str">
        <f>HYPERLINK("https://12go.asia/en/travel/howrah/basti", "12Go Link")</f>
        <v>12Go Link</v>
      </c>
      <c r="E5011" s="3" t="s">
        <v>94</v>
      </c>
      <c r="K5011" s="5"/>
    </row>
    <row r="5012">
      <c r="A5012" s="3" t="s">
        <v>3701</v>
      </c>
      <c r="B5012" s="3" t="s">
        <v>4001</v>
      </c>
      <c r="C5012" s="3" t="s">
        <v>4932</v>
      </c>
      <c r="D5012" s="4" t="str">
        <f>HYPERLINK("https://12go.asia/en/travel/howrah/nawadah", "12Go Link")</f>
        <v>12Go Link</v>
      </c>
      <c r="E5012" s="3" t="s">
        <v>94</v>
      </c>
      <c r="K5012" s="5"/>
    </row>
    <row r="5013">
      <c r="A5013" s="3" t="s">
        <v>3701</v>
      </c>
      <c r="B5013" s="3" t="s">
        <v>3955</v>
      </c>
      <c r="C5013" s="3" t="s">
        <v>4933</v>
      </c>
      <c r="D5013" s="4" t="str">
        <f>HYPERLINK("https://12go.asia/en/travel/howrah/govindpuri", "12Go Link")</f>
        <v>12Go Link</v>
      </c>
      <c r="E5013" s="3" t="s">
        <v>94</v>
      </c>
      <c r="K5013" s="5"/>
    </row>
    <row r="5014">
      <c r="A5014" s="3" t="s">
        <v>3701</v>
      </c>
      <c r="B5014" s="3" t="s">
        <v>4934</v>
      </c>
      <c r="C5014" s="3" t="s">
        <v>4935</v>
      </c>
      <c r="D5014" s="4" t="str">
        <f>HYPERLINK("https://12go.asia/en/travel/howrah/kumardubi", "12Go Link")</f>
        <v>12Go Link</v>
      </c>
      <c r="E5014" s="3" t="s">
        <v>94</v>
      </c>
      <c r="K5014" s="5"/>
    </row>
    <row r="5015">
      <c r="A5015" s="3" t="s">
        <v>3701</v>
      </c>
      <c r="B5015" s="3" t="s">
        <v>4936</v>
      </c>
      <c r="C5015" s="3" t="s">
        <v>4937</v>
      </c>
      <c r="D5015" s="4" t="str">
        <f>HYPERLINK("https://12go.asia/en/travel/howrah/mecheda", "12Go Link")</f>
        <v>12Go Link</v>
      </c>
      <c r="E5015" s="3" t="s">
        <v>94</v>
      </c>
      <c r="K5015" s="5"/>
    </row>
    <row r="5016">
      <c r="A5016" s="3" t="s">
        <v>3701</v>
      </c>
      <c r="B5016" s="3" t="s">
        <v>4229</v>
      </c>
      <c r="C5016" s="3" t="s">
        <v>4938</v>
      </c>
      <c r="D5016" s="4" t="str">
        <f>HYPERLINK("https://12go.asia/en/travel/howrah/raigarh", "12Go Link")</f>
        <v>12Go Link</v>
      </c>
      <c r="E5016" s="3" t="s">
        <v>94</v>
      </c>
      <c r="K5016" s="5"/>
    </row>
    <row r="5017">
      <c r="A5017" s="3" t="s">
        <v>4466</v>
      </c>
      <c r="B5017" s="3" t="s">
        <v>4631</v>
      </c>
      <c r="C5017" s="3" t="s">
        <v>4939</v>
      </c>
      <c r="D5017" s="4" t="str">
        <f>HYPERLINK("https://12go.asia/en/travel/hubballi-dharwad/solapur", "12Go Link")</f>
        <v>12Go Link</v>
      </c>
      <c r="E5017" s="3" t="s">
        <v>94</v>
      </c>
      <c r="K5017" s="5"/>
    </row>
    <row r="5018">
      <c r="A5018" s="3" t="s">
        <v>4468</v>
      </c>
      <c r="B5018" s="3" t="s">
        <v>3710</v>
      </c>
      <c r="C5018" s="3" t="s">
        <v>4940</v>
      </c>
      <c r="D5018" s="4" t="str">
        <f>HYPERLINK("https://12go.asia/en/travel/hubli/secunderabad", "12Go Link")</f>
        <v>12Go Link</v>
      </c>
      <c r="E5018" s="3" t="s">
        <v>8</v>
      </c>
      <c r="K5018" s="5"/>
    </row>
    <row r="5019">
      <c r="A5019" s="3" t="s">
        <v>4468</v>
      </c>
      <c r="B5019" s="3" t="s">
        <v>3582</v>
      </c>
      <c r="C5019" s="3" t="s">
        <v>4941</v>
      </c>
      <c r="D5019" s="4" t="str">
        <f>HYPERLINK("https://12go.asia/en/travel/hubballi-jn/renigunta-junction", "12Go Link")</f>
        <v>12Go Link</v>
      </c>
      <c r="E5019" s="3" t="s">
        <v>94</v>
      </c>
      <c r="K5019" s="5"/>
    </row>
    <row r="5020">
      <c r="A5020" s="3" t="s">
        <v>3638</v>
      </c>
      <c r="B5020" s="3" t="s">
        <v>3710</v>
      </c>
      <c r="C5020" s="3" t="s">
        <v>4942</v>
      </c>
      <c r="D5020" s="4" t="str">
        <f>HYPERLINK("https://12go.asia/en/travel/secunderabad/madhira", "12Go Link")</f>
        <v>12Go Link</v>
      </c>
      <c r="E5020" s="3" t="s">
        <v>94</v>
      </c>
      <c r="K5020" s="5"/>
    </row>
    <row r="5021">
      <c r="A5021" s="3" t="s">
        <v>3638</v>
      </c>
      <c r="B5021" s="3" t="s">
        <v>3862</v>
      </c>
      <c r="C5021" s="3" t="s">
        <v>4943</v>
      </c>
      <c r="D5021" s="4" t="str">
        <f>HYPERLINK("https://12go.asia/en/travel/kacheguda/bidar", "12Go Link")</f>
        <v>12Go Link</v>
      </c>
      <c r="E5021" s="3" t="s">
        <v>94</v>
      </c>
      <c r="K5021" s="5"/>
    </row>
    <row r="5022">
      <c r="A5022" s="3" t="s">
        <v>3638</v>
      </c>
      <c r="B5022" s="3" t="s">
        <v>4944</v>
      </c>
      <c r="C5022" s="3" t="s">
        <v>4945</v>
      </c>
      <c r="D5022" s="4" t="str">
        <f>HYPERLINK("https://12go.asia/en/travel/kacheguda/chittoor", "12Go Link")</f>
        <v>12Go Link</v>
      </c>
      <c r="E5022" s="3" t="s">
        <v>94</v>
      </c>
      <c r="K5022" s="5"/>
    </row>
    <row r="5023">
      <c r="A5023" s="3" t="s">
        <v>3638</v>
      </c>
      <c r="B5023" s="3" t="s">
        <v>152</v>
      </c>
      <c r="C5023" s="3" t="s">
        <v>4946</v>
      </c>
      <c r="D5023" s="4" t="str">
        <f>HYPERLINK("https://12go.asia/en/travel/kacheguda/gooty", "12Go Link")</f>
        <v>12Go Link</v>
      </c>
      <c r="E5023" s="3" t="s">
        <v>94</v>
      </c>
      <c r="K5023" s="5"/>
    </row>
    <row r="5024">
      <c r="A5024" s="3" t="s">
        <v>3638</v>
      </c>
      <c r="B5024" s="3" t="s">
        <v>4947</v>
      </c>
      <c r="C5024" s="3" t="s">
        <v>4948</v>
      </c>
      <c r="D5024" s="4" t="str">
        <f>HYPERLINK("https://12go.asia/en/travel/kacheguda/hindupur", "12Go Link")</f>
        <v>12Go Link</v>
      </c>
      <c r="E5024" s="3" t="s">
        <v>94</v>
      </c>
      <c r="K5024" s="5"/>
    </row>
    <row r="5025">
      <c r="A5025" s="3" t="s">
        <v>3638</v>
      </c>
      <c r="B5025" s="3" t="s">
        <v>4949</v>
      </c>
      <c r="C5025" s="3" t="s">
        <v>4950</v>
      </c>
      <c r="D5025" s="4" t="str">
        <f>HYPERLINK("https://12go.asia/en/travel/secunderabad/jalna", "12Go Link")</f>
        <v>12Go Link</v>
      </c>
      <c r="E5025" s="3" t="s">
        <v>94</v>
      </c>
      <c r="K5025" s="5"/>
    </row>
    <row r="5026">
      <c r="A5026" s="3" t="s">
        <v>3638</v>
      </c>
      <c r="B5026" s="3" t="s">
        <v>4951</v>
      </c>
      <c r="C5026" s="3" t="s">
        <v>4952</v>
      </c>
      <c r="D5026" s="4" t="str">
        <f>HYPERLINK("https://12go.asia/en/travel/kacheguda/bhagat-ki-kothi", "12Go Link")</f>
        <v>12Go Link</v>
      </c>
      <c r="E5026" s="3" t="s">
        <v>94</v>
      </c>
      <c r="K5026" s="5"/>
    </row>
    <row r="5027">
      <c r="A5027" s="3" t="s">
        <v>3638</v>
      </c>
      <c r="B5027" s="3" t="s">
        <v>4951</v>
      </c>
      <c r="C5027" s="3" t="s">
        <v>4953</v>
      </c>
      <c r="D5027" s="4" t="str">
        <f>HYPERLINK("https://12go.asia/en/travel/kacheguda/jodhpur-jn", "12Go Link")</f>
        <v>12Go Link</v>
      </c>
      <c r="E5027" s="3" t="s">
        <v>94</v>
      </c>
      <c r="K5027" s="5"/>
    </row>
    <row r="5028">
      <c r="A5028" s="3" t="s">
        <v>3638</v>
      </c>
      <c r="B5028" s="3" t="s">
        <v>4954</v>
      </c>
      <c r="C5028" s="3" t="s">
        <v>4955</v>
      </c>
      <c r="D5028" s="4" t="str">
        <f>HYPERLINK("https://12go.asia/en/travel/hyderabad-decan/sirpur-kaghaznagar", "12Go Link")</f>
        <v>12Go Link</v>
      </c>
      <c r="E5028" s="3" t="s">
        <v>94</v>
      </c>
      <c r="K5028" s="5"/>
    </row>
    <row r="5029">
      <c r="A5029" s="3" t="s">
        <v>3638</v>
      </c>
      <c r="B5029" s="3" t="s">
        <v>4954</v>
      </c>
      <c r="C5029" s="3" t="s">
        <v>4956</v>
      </c>
      <c r="D5029" s="4" t="str">
        <f>HYPERLINK("https://12go.asia/en/travel/hyderabad/kagaznagar", "12Go Link")</f>
        <v>12Go Link</v>
      </c>
      <c r="E5029" s="3" t="s">
        <v>94</v>
      </c>
      <c r="K5029" s="5"/>
    </row>
    <row r="5030">
      <c r="A5030" s="3" t="s">
        <v>3638</v>
      </c>
      <c r="B5030" s="3" t="s">
        <v>4954</v>
      </c>
      <c r="C5030" s="3" t="s">
        <v>4957</v>
      </c>
      <c r="D5030" s="4" t="str">
        <f>HYPERLINK("https://12go.asia/en/travel/kacheguda/sirpur-kaghaznagar", "12Go Link")</f>
        <v>12Go Link</v>
      </c>
      <c r="E5030" s="3" t="s">
        <v>94</v>
      </c>
      <c r="K5030" s="5"/>
    </row>
    <row r="5031">
      <c r="A5031" s="3" t="s">
        <v>3638</v>
      </c>
      <c r="B5031" s="3" t="s">
        <v>4954</v>
      </c>
      <c r="C5031" s="3" t="s">
        <v>4958</v>
      </c>
      <c r="D5031" s="4" t="str">
        <f>HYPERLINK("https://12go.asia/en/travel/secunderabad/sirpur-kaghaznagar", "12Go Link")</f>
        <v>12Go Link</v>
      </c>
      <c r="E5031" s="3" t="s">
        <v>94</v>
      </c>
      <c r="K5031" s="5"/>
    </row>
    <row r="5032">
      <c r="A5032" s="3" t="s">
        <v>3638</v>
      </c>
      <c r="B5032" s="3" t="s">
        <v>4959</v>
      </c>
      <c r="C5032" s="3" t="s">
        <v>4960</v>
      </c>
      <c r="D5032" s="4" t="str">
        <f>HYPERLINK("https://12go.asia/en/travel/kacheguda/khammam", "12Go Link")</f>
        <v>12Go Link</v>
      </c>
      <c r="E5032" s="3" t="s">
        <v>94</v>
      </c>
      <c r="K5032" s="5"/>
    </row>
    <row r="5033">
      <c r="A5033" s="3" t="s">
        <v>3638</v>
      </c>
      <c r="B5033" s="3" t="s">
        <v>4961</v>
      </c>
      <c r="C5033" s="3" t="s">
        <v>4962</v>
      </c>
      <c r="D5033" s="4" t="str">
        <f>HYPERLINK("https://12go.asia/en/travel/hyderabad/kharagpur", "12Go Link")</f>
        <v>12Go Link</v>
      </c>
      <c r="E5033" s="3" t="s">
        <v>94</v>
      </c>
      <c r="K5033" s="5"/>
    </row>
    <row r="5034">
      <c r="A5034" s="3" t="s">
        <v>3638</v>
      </c>
      <c r="B5034" s="3" t="s">
        <v>4963</v>
      </c>
      <c r="C5034" s="3" t="s">
        <v>4964</v>
      </c>
      <c r="D5034" s="4" t="str">
        <f>HYPERLINK("https://12go.asia/en/travel/kacheguda/madanapalle-road", "12Go Link")</f>
        <v>12Go Link</v>
      </c>
      <c r="E5034" s="3" t="s">
        <v>94</v>
      </c>
      <c r="K5034" s="5"/>
    </row>
    <row r="5035">
      <c r="A5035" s="3" t="s">
        <v>3638</v>
      </c>
      <c r="B5035" s="3" t="s">
        <v>4965</v>
      </c>
      <c r="C5035" s="3" t="s">
        <v>4966</v>
      </c>
      <c r="D5035" s="4" t="str">
        <f>HYPERLINK("https://12go.asia/en/travel/hyderabad-decan/narasapur", "12Go Link")</f>
        <v>12Go Link</v>
      </c>
      <c r="E5035" s="3" t="s">
        <v>94</v>
      </c>
      <c r="K5035" s="5"/>
    </row>
    <row r="5036">
      <c r="A5036" s="3" t="s">
        <v>3638</v>
      </c>
      <c r="B5036" s="3" t="s">
        <v>4965</v>
      </c>
      <c r="C5036" s="3" t="s">
        <v>4967</v>
      </c>
      <c r="D5036" s="4" t="str">
        <f>HYPERLINK("https://12go.asia/en/travel/secunderabad/narasapur", "12Go Link")</f>
        <v>12Go Link</v>
      </c>
      <c r="E5036" s="3" t="s">
        <v>94</v>
      </c>
      <c r="K5036" s="5"/>
    </row>
    <row r="5037">
      <c r="A5037" s="3" t="s">
        <v>3638</v>
      </c>
      <c r="B5037" s="3" t="s">
        <v>4968</v>
      </c>
      <c r="C5037" s="3" t="s">
        <v>4969</v>
      </c>
      <c r="D5037" s="4" t="str">
        <f>HYPERLINK("https://12go.asia/en/travel/hyderabad-decan/palasa", "12Go Link")</f>
        <v>12Go Link</v>
      </c>
      <c r="E5037" s="3" t="s">
        <v>94</v>
      </c>
      <c r="K5037" s="5"/>
    </row>
    <row r="5038">
      <c r="A5038" s="3" t="s">
        <v>3638</v>
      </c>
      <c r="B5038" s="3" t="s">
        <v>4968</v>
      </c>
      <c r="C5038" s="3" t="s">
        <v>4970</v>
      </c>
      <c r="D5038" s="4" t="str">
        <f>HYPERLINK("https://12go.asia/en/travel/secunderabad/palasa", "12Go Link")</f>
        <v>12Go Link</v>
      </c>
      <c r="E5038" s="3" t="s">
        <v>94</v>
      </c>
      <c r="K5038" s="5"/>
    </row>
    <row r="5039">
      <c r="A5039" s="3" t="s">
        <v>3638</v>
      </c>
      <c r="B5039" s="3" t="s">
        <v>4971</v>
      </c>
      <c r="C5039" s="3" t="s">
        <v>4972</v>
      </c>
      <c r="D5039" s="4" t="str">
        <f>HYPERLINK("https://12go.asia/en/travel/kacheguda/parbhani-junction", "12Go Link")</f>
        <v>12Go Link</v>
      </c>
      <c r="E5039" s="3" t="s">
        <v>94</v>
      </c>
      <c r="K5039" s="5"/>
    </row>
    <row r="5040">
      <c r="A5040" s="3" t="s">
        <v>3638</v>
      </c>
      <c r="B5040" s="3" t="s">
        <v>4971</v>
      </c>
      <c r="C5040" s="3" t="s">
        <v>4973</v>
      </c>
      <c r="D5040" s="4" t="str">
        <f>HYPERLINK("https://12go.asia/en/travel/secunderabad/parbhani-junction", "12Go Link")</f>
        <v>12Go Link</v>
      </c>
      <c r="E5040" s="3" t="s">
        <v>94</v>
      </c>
      <c r="K5040" s="5"/>
    </row>
    <row r="5041">
      <c r="A5041" s="3" t="s">
        <v>3638</v>
      </c>
      <c r="B5041" s="3" t="s">
        <v>4974</v>
      </c>
      <c r="C5041" s="3" t="s">
        <v>4975</v>
      </c>
      <c r="D5041" s="4" t="str">
        <f>HYPERLINK("https://12go.asia/en/travel/kacheguda/parli-vaijnath", "12Go Link")</f>
        <v>12Go Link</v>
      </c>
      <c r="E5041" s="3" t="s">
        <v>94</v>
      </c>
      <c r="K5041" s="5"/>
    </row>
    <row r="5042">
      <c r="A5042" s="3" t="s">
        <v>3638</v>
      </c>
      <c r="B5042" s="3" t="s">
        <v>4976</v>
      </c>
      <c r="C5042" s="3" t="s">
        <v>4977</v>
      </c>
      <c r="D5042" s="4" t="str">
        <f>HYPERLINK("https://12go.asia/en/travel/hyderabad-decan/peddapalli", "12Go Link")</f>
        <v>12Go Link</v>
      </c>
      <c r="E5042" s="3" t="s">
        <v>94</v>
      </c>
      <c r="K5042" s="5"/>
    </row>
    <row r="5043">
      <c r="A5043" s="3" t="s">
        <v>3638</v>
      </c>
      <c r="B5043" s="3" t="s">
        <v>4978</v>
      </c>
      <c r="C5043" s="3" t="s">
        <v>4979</v>
      </c>
      <c r="D5043" s="4" t="str">
        <f>HYPERLINK("https://12go.asia/en/travel/hyderabad/penukonda", "12Go Link")</f>
        <v>12Go Link</v>
      </c>
      <c r="E5043" s="3" t="s">
        <v>94</v>
      </c>
      <c r="K5043" s="5"/>
    </row>
    <row r="5044">
      <c r="A5044" s="3" t="s">
        <v>3638</v>
      </c>
      <c r="B5044" s="3" t="s">
        <v>4978</v>
      </c>
      <c r="C5044" s="3" t="s">
        <v>4980</v>
      </c>
      <c r="D5044" s="4" t="str">
        <f>HYPERLINK("https://12go.asia/en/travel/kacheguda/penukonda", "12Go Link")</f>
        <v>12Go Link</v>
      </c>
      <c r="E5044" s="3" t="s">
        <v>94</v>
      </c>
      <c r="K5044" s="5"/>
    </row>
    <row r="5045">
      <c r="A5045" s="3" t="s">
        <v>3638</v>
      </c>
      <c r="B5045" s="3" t="s">
        <v>3754</v>
      </c>
      <c r="C5045" s="3" t="s">
        <v>4981</v>
      </c>
      <c r="D5045" s="4" t="str">
        <f>HYPERLINK("https://12go.asia/en/travel/kacheguda/pondicherry", "12Go Link")</f>
        <v>12Go Link</v>
      </c>
      <c r="E5045" s="3" t="s">
        <v>94</v>
      </c>
      <c r="K5045" s="5"/>
    </row>
    <row r="5046">
      <c r="A5046" s="3" t="s">
        <v>3638</v>
      </c>
      <c r="B5046" s="3" t="s">
        <v>4196</v>
      </c>
      <c r="C5046" s="3" t="s">
        <v>4982</v>
      </c>
      <c r="D5046" s="4" t="str">
        <f>HYPERLINK("https://12go.asia/en/travel/hyderabad/samastipur", "12Go Link")</f>
        <v>12Go Link</v>
      </c>
      <c r="E5046" s="3" t="s">
        <v>94</v>
      </c>
      <c r="K5046" s="5"/>
    </row>
    <row r="5047">
      <c r="A5047" s="3" t="s">
        <v>3638</v>
      </c>
      <c r="B5047" s="3" t="s">
        <v>4196</v>
      </c>
      <c r="C5047" s="3" t="s">
        <v>4983</v>
      </c>
      <c r="D5047" s="4" t="str">
        <f>HYPERLINK("https://12go.asia/en/travel/secunderabad/samastipur-junction", "12Go Link")</f>
        <v>12Go Link</v>
      </c>
      <c r="E5047" s="3" t="s">
        <v>94</v>
      </c>
      <c r="K5047" s="5"/>
    </row>
    <row r="5048">
      <c r="A5048" s="3" t="s">
        <v>3638</v>
      </c>
      <c r="B5048" s="3" t="s">
        <v>4984</v>
      </c>
      <c r="C5048" s="3" t="s">
        <v>4985</v>
      </c>
      <c r="D5048" s="4" t="str">
        <f>HYPERLINK("https://12go.asia/en/travel/hyderabad-decan/sattenapalle", "12Go Link")</f>
        <v>12Go Link</v>
      </c>
      <c r="E5048" s="3" t="s">
        <v>94</v>
      </c>
      <c r="K5048" s="5"/>
    </row>
    <row r="5049">
      <c r="A5049" s="3" t="s">
        <v>3638</v>
      </c>
      <c r="B5049" s="3" t="s">
        <v>4984</v>
      </c>
      <c r="C5049" s="3" t="s">
        <v>4986</v>
      </c>
      <c r="D5049" s="4" t="str">
        <f>HYPERLINK("https://12go.asia/en/travel/secunderabad/sattenapalle", "12Go Link")</f>
        <v>12Go Link</v>
      </c>
      <c r="E5049" s="3" t="s">
        <v>94</v>
      </c>
      <c r="K5049" s="5"/>
    </row>
    <row r="5050">
      <c r="A5050" s="3" t="s">
        <v>3638</v>
      </c>
      <c r="B5050" s="3" t="s">
        <v>3763</v>
      </c>
      <c r="C5050" s="3" t="s">
        <v>4987</v>
      </c>
      <c r="D5050" s="4" t="str">
        <f>HYPERLINK("https://12go.asia/en/travel/hyderabad/satya-sai-p-nilayam", "12Go Link")</f>
        <v>12Go Link</v>
      </c>
      <c r="E5050" s="3" t="s">
        <v>94</v>
      </c>
      <c r="K5050" s="5"/>
    </row>
    <row r="5051">
      <c r="A5051" s="3" t="s">
        <v>3638</v>
      </c>
      <c r="B5051" s="3" t="s">
        <v>3773</v>
      </c>
      <c r="C5051" s="3" t="s">
        <v>4988</v>
      </c>
      <c r="D5051" s="4" t="str">
        <f>HYPERLINK("https://12go.asia/en/travel/hyderabad-decan/tambaram", "12Go Link")</f>
        <v>12Go Link</v>
      </c>
      <c r="E5051" s="3" t="s">
        <v>94</v>
      </c>
      <c r="K5051" s="5"/>
    </row>
    <row r="5052">
      <c r="A5052" s="3" t="s">
        <v>3638</v>
      </c>
      <c r="B5052" s="3" t="s">
        <v>3773</v>
      </c>
      <c r="C5052" s="3" t="s">
        <v>4989</v>
      </c>
      <c r="D5052" s="4" t="str">
        <f>HYPERLINK("https://12go.asia/en/travel/hyderabad/tambaram", "12Go Link")</f>
        <v>12Go Link</v>
      </c>
      <c r="E5052" s="3" t="s">
        <v>94</v>
      </c>
      <c r="K5052" s="5"/>
    </row>
    <row r="5053">
      <c r="A5053" s="3" t="s">
        <v>3638</v>
      </c>
      <c r="B5053" s="3" t="s">
        <v>3773</v>
      </c>
      <c r="C5053" s="3" t="s">
        <v>4990</v>
      </c>
      <c r="D5053" s="4" t="str">
        <f>HYPERLINK("https://12go.asia/en/travel/kacheguda/tambaram", "12Go Link")</f>
        <v>12Go Link</v>
      </c>
      <c r="E5053" s="3" t="s">
        <v>94</v>
      </c>
      <c r="K5053" s="5"/>
    </row>
    <row r="5054">
      <c r="A5054" s="3" t="s">
        <v>3638</v>
      </c>
      <c r="B5054" s="3" t="s">
        <v>4143</v>
      </c>
      <c r="C5054" s="3" t="s">
        <v>4991</v>
      </c>
      <c r="D5054" s="4" t="str">
        <f>HYPERLINK("https://12go.asia/en/travel/secunderabad/adilabad", "12Go Link")</f>
        <v>12Go Link</v>
      </c>
      <c r="E5054" s="3" t="s">
        <v>94</v>
      </c>
      <c r="K5054" s="5"/>
    </row>
    <row r="5055">
      <c r="A5055" s="3" t="s">
        <v>3638</v>
      </c>
      <c r="B5055" s="3" t="s">
        <v>4992</v>
      </c>
      <c r="C5055" s="3" t="s">
        <v>4993</v>
      </c>
      <c r="D5055" s="4" t="str">
        <f>HYPERLINK("https://12go.asia/en/travel/hyderabad-decan/tuni", "12Go Link")</f>
        <v>12Go Link</v>
      </c>
      <c r="E5055" s="3" t="s">
        <v>94</v>
      </c>
      <c r="K5055" s="5"/>
    </row>
    <row r="5056">
      <c r="A5056" s="3" t="s">
        <v>3638</v>
      </c>
      <c r="B5056" s="3" t="s">
        <v>4992</v>
      </c>
      <c r="C5056" s="3" t="s">
        <v>4994</v>
      </c>
      <c r="D5056" s="4" t="str">
        <f>HYPERLINK("https://12go.asia/en/travel/kacheguda/tuni", "12Go Link")</f>
        <v>12Go Link</v>
      </c>
      <c r="E5056" s="3" t="s">
        <v>94</v>
      </c>
      <c r="K5056" s="5"/>
    </row>
    <row r="5057">
      <c r="A5057" s="3" t="s">
        <v>3638</v>
      </c>
      <c r="B5057" s="3" t="s">
        <v>4992</v>
      </c>
      <c r="C5057" s="3" t="s">
        <v>4995</v>
      </c>
      <c r="D5057" s="4" t="str">
        <f>HYPERLINK("https://12go.asia/en/travel/secunderabad/tuni", "12Go Link")</f>
        <v>12Go Link</v>
      </c>
      <c r="E5057" s="3" t="s">
        <v>94</v>
      </c>
      <c r="K5057" s="5"/>
    </row>
    <row r="5058">
      <c r="A5058" s="3" t="s">
        <v>3638</v>
      </c>
      <c r="B5058" s="3" t="s">
        <v>4996</v>
      </c>
      <c r="C5058" s="3" t="s">
        <v>4997</v>
      </c>
      <c r="D5058" s="4" t="str">
        <f>HYPERLINK("https://12go.asia/en/travel/hyderabad-decan/vikarabad-junction", "12Go Link")</f>
        <v>12Go Link</v>
      </c>
      <c r="E5058" s="3" t="s">
        <v>94</v>
      </c>
      <c r="K5058" s="5"/>
    </row>
    <row r="5059">
      <c r="A5059" s="3" t="s">
        <v>3638</v>
      </c>
      <c r="B5059" s="3" t="s">
        <v>4996</v>
      </c>
      <c r="C5059" s="3" t="s">
        <v>4998</v>
      </c>
      <c r="D5059" s="4" t="str">
        <f>HYPERLINK("https://12go.asia/en/travel/hyderabad/vikarabad", "12Go Link")</f>
        <v>12Go Link</v>
      </c>
      <c r="E5059" s="3" t="s">
        <v>94</v>
      </c>
      <c r="K5059" s="5"/>
    </row>
    <row r="5060">
      <c r="A5060" s="3" t="s">
        <v>3638</v>
      </c>
      <c r="B5060" s="3" t="s">
        <v>4996</v>
      </c>
      <c r="C5060" s="3" t="s">
        <v>4999</v>
      </c>
      <c r="D5060" s="4" t="str">
        <f>HYPERLINK("https://12go.asia/en/travel/kacheguda/vikarabad-junction", "12Go Link")</f>
        <v>12Go Link</v>
      </c>
      <c r="E5060" s="3" t="s">
        <v>94</v>
      </c>
      <c r="K5060" s="5"/>
    </row>
    <row r="5061">
      <c r="A5061" s="3" t="s">
        <v>3638</v>
      </c>
      <c r="B5061" s="3" t="s">
        <v>4996</v>
      </c>
      <c r="C5061" s="3" t="s">
        <v>5000</v>
      </c>
      <c r="D5061" s="4" t="str">
        <f>HYPERLINK("https://12go.asia/en/travel/secunderabad/vikarabad-junction", "12Go Link")</f>
        <v>12Go Link</v>
      </c>
      <c r="E5061" s="3" t="s">
        <v>94</v>
      </c>
      <c r="K5061" s="5"/>
    </row>
    <row r="5062">
      <c r="A5062" s="3" t="s">
        <v>3638</v>
      </c>
      <c r="B5062" s="3" t="s">
        <v>4650</v>
      </c>
      <c r="C5062" s="3" t="s">
        <v>5001</v>
      </c>
      <c r="D5062" s="4" t="str">
        <f>HYPERLINK("https://12go.asia/en/travel/kacheguda/villuparam-junction", "12Go Link")</f>
        <v>12Go Link</v>
      </c>
      <c r="E5062" s="3" t="s">
        <v>94</v>
      </c>
      <c r="K5062" s="5"/>
    </row>
    <row r="5063">
      <c r="A5063" s="3" t="s">
        <v>3638</v>
      </c>
      <c r="B5063" s="3" t="s">
        <v>3780</v>
      </c>
      <c r="C5063" s="3" t="s">
        <v>5002</v>
      </c>
      <c r="D5063" s="4" t="str">
        <f>HYPERLINK("https://12go.asia/en/travel/hyderabad-decan/vizianagram-junction", "12Go Link")</f>
        <v>12Go Link</v>
      </c>
      <c r="E5063" s="3" t="s">
        <v>94</v>
      </c>
      <c r="K5063" s="5"/>
    </row>
    <row r="5064">
      <c r="A5064" s="3" t="s">
        <v>3638</v>
      </c>
      <c r="B5064" s="3" t="s">
        <v>3780</v>
      </c>
      <c r="C5064" s="3" t="s">
        <v>5003</v>
      </c>
      <c r="D5064" s="4" t="str">
        <f>HYPERLINK("https://12go.asia/en/travel/secunderabad/vizianagram-junction", "12Go Link")</f>
        <v>12Go Link</v>
      </c>
      <c r="E5064" s="3" t="s">
        <v>94</v>
      </c>
      <c r="K5064" s="5"/>
    </row>
    <row r="5065">
      <c r="A5065" s="3" t="s">
        <v>3638</v>
      </c>
      <c r="B5065" s="3" t="s">
        <v>3782</v>
      </c>
      <c r="C5065" s="3" t="s">
        <v>5004</v>
      </c>
      <c r="D5065" s="4" t="str">
        <f>HYPERLINK("https://12go.asia/en/travel/hyderabad-decan/kazipet-junction", "12Go Link")</f>
        <v>12Go Link</v>
      </c>
      <c r="E5065" s="3" t="s">
        <v>94</v>
      </c>
      <c r="K5065" s="5"/>
    </row>
    <row r="5066">
      <c r="A5066" s="3" t="s">
        <v>3638</v>
      </c>
      <c r="B5066" s="3" t="s">
        <v>3782</v>
      </c>
      <c r="C5066" s="3" t="s">
        <v>5005</v>
      </c>
      <c r="D5066" s="4" t="str">
        <f>HYPERLINK("https://12go.asia/en/travel/kacheguda/kazipet-junction", "12Go Link")</f>
        <v>12Go Link</v>
      </c>
      <c r="E5066" s="3" t="s">
        <v>94</v>
      </c>
      <c r="K5066" s="5"/>
    </row>
    <row r="5067">
      <c r="A5067" s="3" t="s">
        <v>3638</v>
      </c>
      <c r="B5067" s="3" t="s">
        <v>3782</v>
      </c>
      <c r="C5067" s="3" t="s">
        <v>5006</v>
      </c>
      <c r="D5067" s="4" t="str">
        <f>HYPERLINK("https://12go.asia/en/travel/secunderabad/kazipet-junction", "12Go Link")</f>
        <v>12Go Link</v>
      </c>
      <c r="E5067" s="3" t="s">
        <v>94</v>
      </c>
      <c r="K5067" s="5"/>
    </row>
    <row r="5068">
      <c r="A5068" s="3" t="s">
        <v>3638</v>
      </c>
      <c r="B5068" s="3" t="s">
        <v>5007</v>
      </c>
      <c r="C5068" s="3" t="s">
        <v>5008</v>
      </c>
      <c r="D5068" s="4" t="str">
        <f>HYPERLINK("https://12go.asia/en/travel/hyderabad/yadgir", "12Go Link")</f>
        <v>12Go Link</v>
      </c>
      <c r="E5068" s="3" t="s">
        <v>94</v>
      </c>
      <c r="K5068" s="5"/>
    </row>
    <row r="5069">
      <c r="A5069" s="3" t="s">
        <v>3638</v>
      </c>
      <c r="B5069" s="3" t="s">
        <v>5007</v>
      </c>
      <c r="C5069" s="3" t="s">
        <v>5009</v>
      </c>
      <c r="D5069" s="4" t="str">
        <f>HYPERLINK("https://12go.asia/en/travel/secunderabad/yadgir", "12Go Link")</f>
        <v>12Go Link</v>
      </c>
      <c r="E5069" s="3" t="s">
        <v>94</v>
      </c>
      <c r="K5069" s="5"/>
    </row>
    <row r="5070">
      <c r="A5070" s="3" t="s">
        <v>3638</v>
      </c>
      <c r="B5070" s="3" t="s">
        <v>5010</v>
      </c>
      <c r="C5070" s="3" t="s">
        <v>5011</v>
      </c>
      <c r="D5070" s="4" t="str">
        <f>HYPERLINK("https://12go.asia/en/travel/kacheguda/yerraguntla", "12Go Link")</f>
        <v>12Go Link</v>
      </c>
      <c r="E5070" s="3" t="s">
        <v>94</v>
      </c>
      <c r="K5070" s="5"/>
    </row>
    <row r="5071">
      <c r="A5071" s="3" t="s">
        <v>5012</v>
      </c>
      <c r="B5071" s="3" t="s">
        <v>163</v>
      </c>
      <c r="C5071" s="3" t="s">
        <v>5013</v>
      </c>
      <c r="D5071" s="4" t="str">
        <f>HYPERLINK("https://12go.asia/en/travel/igatpuri/maharashtra", "12Go Link")</f>
        <v>12Go Link</v>
      </c>
      <c r="E5071" s="3" t="s">
        <v>94</v>
      </c>
      <c r="K5071" s="5"/>
    </row>
    <row r="5072">
      <c r="A5072" s="3" t="s">
        <v>5012</v>
      </c>
      <c r="B5072" s="3" t="s">
        <v>3690</v>
      </c>
      <c r="C5072" s="3" t="s">
        <v>5014</v>
      </c>
      <c r="D5072" s="4" t="str">
        <f>HYPERLINK("https://12go.asia/en/travel/igatpuri/lokmanya-tilak-term", "12Go Link")</f>
        <v>12Go Link</v>
      </c>
      <c r="E5072" s="3" t="s">
        <v>94</v>
      </c>
      <c r="K5072" s="5"/>
    </row>
    <row r="5073">
      <c r="A5073" s="3" t="s">
        <v>5012</v>
      </c>
      <c r="B5073" s="3" t="s">
        <v>3690</v>
      </c>
      <c r="C5073" s="3" t="s">
        <v>5015</v>
      </c>
      <c r="D5073" s="4" t="str">
        <f>HYPERLINK("https://12go.asia/en/travel/igatpuri/mumbai-cst", "12Go Link")</f>
        <v>12Go Link</v>
      </c>
      <c r="E5073" s="3" t="s">
        <v>94</v>
      </c>
      <c r="K5073" s="5"/>
    </row>
    <row r="5074">
      <c r="A5074" s="3" t="s">
        <v>5012</v>
      </c>
      <c r="B5074" s="3" t="s">
        <v>5016</v>
      </c>
      <c r="C5074" s="3" t="s">
        <v>5017</v>
      </c>
      <c r="D5074" s="4" t="str">
        <f>HYPERLINK("https://12go.asia/en/travel/igatpuri/panvel", "12Go Link")</f>
        <v>12Go Link</v>
      </c>
      <c r="E5074" s="3" t="s">
        <v>94</v>
      </c>
      <c r="K5074" s="5"/>
    </row>
    <row r="5075">
      <c r="A5075" s="3" t="s">
        <v>4225</v>
      </c>
      <c r="B5075" s="3" t="s">
        <v>4681</v>
      </c>
      <c r="C5075" s="3" t="s">
        <v>5018</v>
      </c>
      <c r="D5075" s="4" t="str">
        <f>HYPERLINK("https://12go.asia/en/travel/indore-jn-bg/gaya-jn", "12Go Link")</f>
        <v>12Go Link</v>
      </c>
      <c r="E5075" s="3" t="s">
        <v>94</v>
      </c>
      <c r="K5075" s="5"/>
    </row>
    <row r="5076">
      <c r="A5076" s="3" t="s">
        <v>4225</v>
      </c>
      <c r="B5076" s="3" t="s">
        <v>4681</v>
      </c>
      <c r="C5076" s="3" t="s">
        <v>5019</v>
      </c>
      <c r="D5076" s="4" t="str">
        <f>HYPERLINK("https://12go.asia/en/travel/indore/gaya", "12Go Link")</f>
        <v>12Go Link</v>
      </c>
      <c r="E5076" s="3" t="s">
        <v>94</v>
      </c>
      <c r="K5076" s="5"/>
    </row>
    <row r="5077">
      <c r="A5077" s="3" t="s">
        <v>4225</v>
      </c>
      <c r="B5077" s="3" t="s">
        <v>5020</v>
      </c>
      <c r="C5077" s="3" t="s">
        <v>5021</v>
      </c>
      <c r="D5077" s="4" t="str">
        <f>HYPERLINK("https://12go.asia/en/travel/indore-jn-bg/godhra-junction", "12Go Link")</f>
        <v>12Go Link</v>
      </c>
      <c r="E5077" s="3" t="s">
        <v>94</v>
      </c>
      <c r="K5077" s="5"/>
    </row>
    <row r="5078">
      <c r="A5078" s="3" t="s">
        <v>4225</v>
      </c>
      <c r="B5078" s="3" t="s">
        <v>5020</v>
      </c>
      <c r="C5078" s="3" t="s">
        <v>5022</v>
      </c>
      <c r="D5078" s="4" t="str">
        <f>HYPERLINK("https://12go.asia/en/travel/indore/godhra", "12Go Link")</f>
        <v>12Go Link</v>
      </c>
      <c r="E5078" s="3" t="s">
        <v>94</v>
      </c>
      <c r="K5078" s="5"/>
    </row>
    <row r="5079">
      <c r="A5079" s="3" t="s">
        <v>4225</v>
      </c>
      <c r="B5079" s="3" t="s">
        <v>3638</v>
      </c>
      <c r="C5079" s="3" t="s">
        <v>5023</v>
      </c>
      <c r="D5079" s="4" t="str">
        <f>HYPERLINK("https://12go.asia/en/travel/indore-jn-bg/kacheguda", "12Go Link")</f>
        <v>12Go Link</v>
      </c>
      <c r="E5079" s="3" t="s">
        <v>94</v>
      </c>
      <c r="K5079" s="5"/>
    </row>
    <row r="5080">
      <c r="A5080" s="3" t="s">
        <v>4225</v>
      </c>
      <c r="B5080" s="3" t="s">
        <v>3627</v>
      </c>
      <c r="C5080" s="3" t="s">
        <v>5024</v>
      </c>
      <c r="D5080" s="4" t="str">
        <f>HYPERLINK("https://12go.asia/en/travel/indore-jn-bg/nagda-junction", "12Go Link")</f>
        <v>12Go Link</v>
      </c>
      <c r="E5080" s="3" t="s">
        <v>94</v>
      </c>
      <c r="K5080" s="5"/>
    </row>
    <row r="5081">
      <c r="A5081" s="3" t="s">
        <v>4225</v>
      </c>
      <c r="B5081" s="3" t="s">
        <v>3627</v>
      </c>
      <c r="C5081" s="3" t="s">
        <v>5025</v>
      </c>
      <c r="D5081" s="4" t="str">
        <f>HYPERLINK("https://12go.asia/en/travel/indore/nagda", "12Go Link")</f>
        <v>12Go Link</v>
      </c>
      <c r="E5081" s="3" t="s">
        <v>94</v>
      </c>
      <c r="K5081" s="5"/>
    </row>
    <row r="5082">
      <c r="A5082" s="3" t="s">
        <v>4225</v>
      </c>
      <c r="B5082" s="3" t="s">
        <v>3752</v>
      </c>
      <c r="C5082" s="3" t="s">
        <v>5026</v>
      </c>
      <c r="D5082" s="4" t="str">
        <f>HYPERLINK("https://12go.asia/en/travel/indore-jn-bg/prayagraj-junction", "12Go Link")</f>
        <v>12Go Link</v>
      </c>
      <c r="E5082" s="3" t="s">
        <v>94</v>
      </c>
      <c r="K5082" s="5"/>
    </row>
    <row r="5083">
      <c r="A5083" s="3" t="s">
        <v>4225</v>
      </c>
      <c r="B5083" s="3" t="s">
        <v>3752</v>
      </c>
      <c r="C5083" s="3" t="s">
        <v>5027</v>
      </c>
      <c r="D5083" s="4" t="str">
        <f>HYPERLINK("https://12go.asia/en/travel/indore/prayagraj", "12Go Link")</f>
        <v>12Go Link</v>
      </c>
      <c r="E5083" s="3" t="s">
        <v>94</v>
      </c>
      <c r="K5083" s="5"/>
    </row>
    <row r="5084">
      <c r="A5084" s="3" t="s">
        <v>4225</v>
      </c>
      <c r="B5084" s="3" t="s">
        <v>5028</v>
      </c>
      <c r="C5084" s="3" t="s">
        <v>5029</v>
      </c>
      <c r="D5084" s="4" t="str">
        <f>HYPERLINK("https://12go.asia/en/travel/indore-jn-bg/sawai-madhopur", "12Go Link")</f>
        <v>12Go Link</v>
      </c>
      <c r="E5084" s="3" t="s">
        <v>94</v>
      </c>
      <c r="K5084" s="5"/>
    </row>
    <row r="5085">
      <c r="A5085" s="3" t="s">
        <v>4225</v>
      </c>
      <c r="B5085" s="3" t="s">
        <v>5028</v>
      </c>
      <c r="C5085" s="3" t="s">
        <v>5030</v>
      </c>
      <c r="D5085" s="4" t="str">
        <f>HYPERLINK("https://12go.asia/en/travel/indore/sawai-madhopur", "12Go Link")</f>
        <v>12Go Link</v>
      </c>
      <c r="E5085" s="3" t="s">
        <v>94</v>
      </c>
      <c r="K5085" s="5"/>
    </row>
    <row r="5086">
      <c r="A5086" s="3" t="s">
        <v>4225</v>
      </c>
      <c r="B5086" s="3" t="s">
        <v>5031</v>
      </c>
      <c r="C5086" s="3" t="s">
        <v>5032</v>
      </c>
      <c r="D5086" s="4" t="str">
        <f>HYPERLINK("https://12go.asia/en/travel/indore-jn-bg/sehore", "12Go Link")</f>
        <v>12Go Link</v>
      </c>
      <c r="E5086" s="3" t="s">
        <v>94</v>
      </c>
      <c r="K5086" s="5"/>
    </row>
    <row r="5087">
      <c r="A5087" s="3" t="s">
        <v>4225</v>
      </c>
      <c r="B5087" s="3" t="s">
        <v>5033</v>
      </c>
      <c r="C5087" s="3" t="s">
        <v>5034</v>
      </c>
      <c r="D5087" s="4" t="str">
        <f>HYPERLINK("https://12go.asia/en/travel/indore-jn-bg/shujalpur", "12Go Link")</f>
        <v>12Go Link</v>
      </c>
      <c r="E5087" s="3" t="s">
        <v>94</v>
      </c>
      <c r="K5087" s="5"/>
    </row>
    <row r="5088">
      <c r="A5088" s="3" t="s">
        <v>4225</v>
      </c>
      <c r="B5088" s="3" t="s">
        <v>5033</v>
      </c>
      <c r="C5088" s="3" t="s">
        <v>5035</v>
      </c>
      <c r="D5088" s="4" t="str">
        <f>HYPERLINK("https://12go.asia/en/travel/indore/shujalpur", "12Go Link")</f>
        <v>12Go Link</v>
      </c>
      <c r="E5088" s="3" t="s">
        <v>94</v>
      </c>
      <c r="K5088" s="5"/>
    </row>
    <row r="5089">
      <c r="A5089" s="3" t="s">
        <v>3896</v>
      </c>
      <c r="B5089" s="3" t="s">
        <v>3657</v>
      </c>
      <c r="C5089" s="3" t="s">
        <v>5036</v>
      </c>
      <c r="D5089" s="4" t="str">
        <f>HYPERLINK("https://12go.asia/en/travel/irinjalakuda/aluva", "12Go Link")</f>
        <v>12Go Link</v>
      </c>
      <c r="E5089" s="3" t="s">
        <v>94</v>
      </c>
      <c r="K5089" s="5"/>
    </row>
    <row r="5090">
      <c r="A5090" s="3" t="s">
        <v>3896</v>
      </c>
      <c r="B5090" s="3" t="s">
        <v>4158</v>
      </c>
      <c r="C5090" s="3" t="s">
        <v>5037</v>
      </c>
      <c r="D5090" s="4" t="str">
        <f>HYPERLINK("https://12go.asia/en/travel/irinjalakuda/ernakulam", "12Go Link")</f>
        <v>12Go Link</v>
      </c>
      <c r="E5090" s="3" t="s">
        <v>94</v>
      </c>
      <c r="K5090" s="5"/>
    </row>
    <row r="5091">
      <c r="A5091" s="3" t="s">
        <v>3896</v>
      </c>
      <c r="B5091" s="3" t="s">
        <v>4182</v>
      </c>
      <c r="C5091" s="3" t="s">
        <v>5038</v>
      </c>
      <c r="D5091" s="4" t="str">
        <f>HYPERLINK("https://12go.asia/en/travel/irinjalakuda/ernakulam-jn", "12Go Link")</f>
        <v>12Go Link</v>
      </c>
      <c r="E5091" s="3" t="s">
        <v>94</v>
      </c>
      <c r="K5091" s="5"/>
    </row>
    <row r="5092">
      <c r="A5092" s="3" t="s">
        <v>3896</v>
      </c>
      <c r="B5092" s="3" t="s">
        <v>4182</v>
      </c>
      <c r="C5092" s="3" t="s">
        <v>5039</v>
      </c>
      <c r="D5092" s="4" t="str">
        <f>HYPERLINK("https://12go.asia/en/travel/irinjalakuda/kochi-india", "12Go Link")</f>
        <v>12Go Link</v>
      </c>
      <c r="E5092" s="3" t="s">
        <v>94</v>
      </c>
      <c r="K5092" s="5"/>
    </row>
    <row r="5093">
      <c r="A5093" s="3" t="s">
        <v>5040</v>
      </c>
      <c r="B5093" s="3" t="s">
        <v>3647</v>
      </c>
      <c r="C5093" s="3" t="s">
        <v>5041</v>
      </c>
      <c r="D5093" s="4" t="str">
        <f>HYPERLINK("https://12go.asia/en/travel/itanagar/delhi", "12Go Link")</f>
        <v>12Go Link</v>
      </c>
      <c r="E5093" s="3" t="s">
        <v>94</v>
      </c>
      <c r="K5093" s="5"/>
    </row>
    <row r="5094">
      <c r="A5094" s="3" t="s">
        <v>5040</v>
      </c>
      <c r="B5094" s="3" t="s">
        <v>3647</v>
      </c>
      <c r="C5094" s="3" t="s">
        <v>5042</v>
      </c>
      <c r="D5094" s="4" t="str">
        <f>HYPERLINK("https://12go.asia/en/travel/naharlagun/anand-vihar-trm", "12Go Link")</f>
        <v>12Go Link</v>
      </c>
      <c r="E5094" s="3" t="s">
        <v>94</v>
      </c>
      <c r="K5094" s="5"/>
    </row>
    <row r="5095">
      <c r="A5095" s="3" t="s">
        <v>4162</v>
      </c>
      <c r="B5095" s="3" t="s">
        <v>4001</v>
      </c>
      <c r="C5095" s="3" t="s">
        <v>5043</v>
      </c>
      <c r="D5095" s="4" t="str">
        <f>HYPERLINK("https://12go.asia/en/travel/itarsi/bihar", "12Go Link")</f>
        <v>12Go Link</v>
      </c>
      <c r="E5095" s="3" t="s">
        <v>94</v>
      </c>
      <c r="K5095" s="5"/>
    </row>
    <row r="5096">
      <c r="A5096" s="3" t="s">
        <v>4162</v>
      </c>
      <c r="B5096" s="3" t="s">
        <v>4209</v>
      </c>
      <c r="C5096" s="3" t="s">
        <v>5044</v>
      </c>
      <c r="D5096" s="4" t="str">
        <f>HYPERLINK("https://12go.asia/en/travel/itarsi/danapur", "12Go Link")</f>
        <v>12Go Link</v>
      </c>
      <c r="E5096" s="3" t="s">
        <v>94</v>
      </c>
      <c r="K5096" s="5"/>
    </row>
    <row r="5097">
      <c r="A5097" s="3" t="s">
        <v>4162</v>
      </c>
      <c r="B5097" s="3" t="s">
        <v>5045</v>
      </c>
      <c r="C5097" s="3" t="s">
        <v>5046</v>
      </c>
      <c r="D5097" s="4" t="str">
        <f>HYPERLINK("https://12go.asia/en/travel/itarsi/hoshangabad", "12Go Link")</f>
        <v>12Go Link</v>
      </c>
      <c r="E5097" s="3" t="s">
        <v>94</v>
      </c>
      <c r="K5097" s="5"/>
    </row>
    <row r="5098">
      <c r="A5098" s="3" t="s">
        <v>4162</v>
      </c>
      <c r="B5098" s="3" t="s">
        <v>5045</v>
      </c>
      <c r="C5098" s="3" t="s">
        <v>5047</v>
      </c>
      <c r="D5098" s="4" t="str">
        <f>HYPERLINK("https://12go.asia/en/travel/itarsi/narmadapuram", "12Go Link")</f>
        <v>12Go Link</v>
      </c>
      <c r="E5098" s="3" t="s">
        <v>94</v>
      </c>
      <c r="K5098" s="5"/>
    </row>
    <row r="5099">
      <c r="A5099" s="3" t="s">
        <v>4162</v>
      </c>
      <c r="B5099" s="3" t="s">
        <v>3970</v>
      </c>
      <c r="C5099" s="3" t="s">
        <v>5048</v>
      </c>
      <c r="D5099" s="4" t="str">
        <f>HYPERLINK("https://12go.asia/en/travel/itarsi/navi-mumbai", "12Go Link")</f>
        <v>12Go Link</v>
      </c>
      <c r="E5099" s="3" t="s">
        <v>94</v>
      </c>
      <c r="K5099" s="5"/>
    </row>
    <row r="5100">
      <c r="A5100" s="3" t="s">
        <v>4162</v>
      </c>
      <c r="B5100" s="3" t="s">
        <v>3926</v>
      </c>
      <c r="C5100" s="3" t="s">
        <v>5049</v>
      </c>
      <c r="D5100" s="4" t="str">
        <f>HYPERLINK("https://12go.asia/en/travel/itarsi/tiruppur", "12Go Link")</f>
        <v>12Go Link</v>
      </c>
      <c r="E5100" s="3" t="s">
        <v>94</v>
      </c>
      <c r="K5100" s="5"/>
    </row>
    <row r="5101">
      <c r="A5101" s="3" t="s">
        <v>4162</v>
      </c>
      <c r="B5101" s="3" t="s">
        <v>189</v>
      </c>
      <c r="C5101" s="3" t="s">
        <v>5050</v>
      </c>
      <c r="D5101" s="4" t="str">
        <f>HYPERLINK("https://12go.asia/en/travel/itarsi/vrindavan", "12Go Link")</f>
        <v>12Go Link</v>
      </c>
      <c r="E5101" s="3" t="s">
        <v>94</v>
      </c>
      <c r="K5101" s="5"/>
    </row>
    <row r="5102">
      <c r="A5102" s="3" t="s">
        <v>3898</v>
      </c>
      <c r="B5102" s="3" t="s">
        <v>155</v>
      </c>
      <c r="C5102" s="3" t="s">
        <v>5051</v>
      </c>
      <c r="D5102" s="4" t="str">
        <f>HYPERLINK("https://12go.asia/en/travel/jabalpur/gujarat", "12Go Link")</f>
        <v>12Go Link</v>
      </c>
      <c r="E5102" s="3" t="s">
        <v>94</v>
      </c>
      <c r="K5102" s="5"/>
    </row>
    <row r="5103">
      <c r="A5103" s="3" t="s">
        <v>3898</v>
      </c>
      <c r="B5103" s="3" t="s">
        <v>4562</v>
      </c>
      <c r="C5103" s="3" t="s">
        <v>5052</v>
      </c>
      <c r="D5103" s="4" t="str">
        <f>HYPERLINK("https://12go.asia/en/travel/jabalpur/gumia", "12Go Link")</f>
        <v>12Go Link</v>
      </c>
      <c r="E5103" s="3" t="s">
        <v>94</v>
      </c>
      <c r="K5103" s="5"/>
    </row>
    <row r="5104">
      <c r="A5104" s="3" t="s">
        <v>3898</v>
      </c>
      <c r="B5104" s="3" t="s">
        <v>4562</v>
      </c>
      <c r="C5104" s="3" t="s">
        <v>5053</v>
      </c>
      <c r="D5104" s="4" t="str">
        <f>HYPERLINK("https://12go.asia/en/travel/jabalpur/jharkhand", "12Go Link")</f>
        <v>12Go Link</v>
      </c>
      <c r="E5104" s="3" t="s">
        <v>94</v>
      </c>
      <c r="K5104" s="5"/>
    </row>
    <row r="5105">
      <c r="A5105" s="3" t="s">
        <v>3898</v>
      </c>
      <c r="B5105" s="3" t="s">
        <v>3739</v>
      </c>
      <c r="C5105" s="3" t="s">
        <v>5054</v>
      </c>
      <c r="D5105" s="4" t="str">
        <f>HYPERLINK("https://12go.asia/en/travel/jabalpur/mughalsarai", "12Go Link")</f>
        <v>12Go Link</v>
      </c>
      <c r="E5105" s="3" t="s">
        <v>94</v>
      </c>
      <c r="K5105" s="5"/>
    </row>
    <row r="5106">
      <c r="A5106" s="3" t="s">
        <v>4164</v>
      </c>
      <c r="B5106" s="3" t="s">
        <v>3690</v>
      </c>
      <c r="C5106" s="3" t="s">
        <v>5055</v>
      </c>
      <c r="D5106" s="4" t="str">
        <f>HYPERLINK("https://12go.asia/en/travel/jainagar-bihar/mumbai", "12Go Link")</f>
        <v>12Go Link</v>
      </c>
      <c r="E5106" s="3" t="s">
        <v>94</v>
      </c>
      <c r="K5106" s="5"/>
    </row>
    <row r="5107">
      <c r="A5107" s="3" t="s">
        <v>4164</v>
      </c>
      <c r="B5107" s="3" t="s">
        <v>3690</v>
      </c>
      <c r="C5107" s="3" t="s">
        <v>5056</v>
      </c>
      <c r="D5107" s="4" t="str">
        <f>HYPERLINK("https://12go.asia/en/travel/jaynagar/lokmanya-tilak-term", "12Go Link")</f>
        <v>12Go Link</v>
      </c>
      <c r="E5107" s="3" t="s">
        <v>94</v>
      </c>
      <c r="K5107" s="5"/>
    </row>
    <row r="5108">
      <c r="A5108" s="3" t="s">
        <v>4164</v>
      </c>
      <c r="B5108" s="3" t="s">
        <v>3842</v>
      </c>
      <c r="C5108" s="3" t="s">
        <v>5057</v>
      </c>
      <c r="D5108" s="4" t="str">
        <f>HYPERLINK("https://12go.asia/en/travel/jainagar-bihar/new-delhi", "12Go Link")</f>
        <v>12Go Link</v>
      </c>
      <c r="E5108" s="3" t="s">
        <v>94</v>
      </c>
      <c r="K5108" s="5"/>
    </row>
    <row r="5109">
      <c r="A5109" s="3" t="s">
        <v>4164</v>
      </c>
      <c r="B5109" s="3" t="s">
        <v>5058</v>
      </c>
      <c r="C5109" s="3" t="s">
        <v>5059</v>
      </c>
      <c r="D5109" s="4" t="str">
        <f>HYPERLINK("https://12go.asia/en/travel/jainagar-bihar/sultanganj", "12Go Link")</f>
        <v>12Go Link</v>
      </c>
      <c r="E5109" s="3" t="s">
        <v>94</v>
      </c>
      <c r="K5109" s="5"/>
    </row>
    <row r="5110">
      <c r="A5110" s="3" t="s">
        <v>4164</v>
      </c>
      <c r="B5110" s="3" t="s">
        <v>5058</v>
      </c>
      <c r="C5110" s="3" t="s">
        <v>5060</v>
      </c>
      <c r="D5110" s="4" t="str">
        <f>HYPERLINK("https://12go.asia/en/travel/jaynagar/sultanganj", "12Go Link")</f>
        <v>12Go Link</v>
      </c>
      <c r="E5110" s="3" t="s">
        <v>94</v>
      </c>
      <c r="K5110" s="5"/>
    </row>
    <row r="5111">
      <c r="A5111" s="3" t="s">
        <v>3986</v>
      </c>
      <c r="B5111" s="3" t="s">
        <v>149</v>
      </c>
      <c r="C5111" s="3" t="s">
        <v>5061</v>
      </c>
      <c r="D5111" s="4" t="str">
        <f>HYPERLINK("https://12go.asia/en/travel/dahar-ka-balaji/ahmedabad-jn", "12Go Link")</f>
        <v>12Go Link</v>
      </c>
      <c r="E5111" s="3" t="s">
        <v>94</v>
      </c>
      <c r="K5111" s="5"/>
    </row>
    <row r="5112">
      <c r="A5112" s="3" t="s">
        <v>3986</v>
      </c>
      <c r="B5112" s="3" t="s">
        <v>5062</v>
      </c>
      <c r="C5112" s="3" t="s">
        <v>5063</v>
      </c>
      <c r="D5112" s="4" t="str">
        <f>HYPERLINK("https://12go.asia/en/travel/jaipur/falna", "12Go Link")</f>
        <v>12Go Link</v>
      </c>
      <c r="E5112" s="3" t="s">
        <v>94</v>
      </c>
      <c r="K5112" s="5"/>
    </row>
    <row r="5113">
      <c r="A5113" s="3" t="s">
        <v>3986</v>
      </c>
      <c r="B5113" s="3" t="s">
        <v>4809</v>
      </c>
      <c r="C5113" s="3" t="s">
        <v>5064</v>
      </c>
      <c r="D5113" s="4" t="str">
        <f>HYPERLINK("https://12go.asia/en/travel/jaipur/guna", "12Go Link")</f>
        <v>12Go Link</v>
      </c>
      <c r="E5113" s="3" t="s">
        <v>94</v>
      </c>
      <c r="K5113" s="5"/>
    </row>
    <row r="5114">
      <c r="A5114" s="3" t="s">
        <v>3986</v>
      </c>
      <c r="B5114" s="3" t="s">
        <v>3986</v>
      </c>
      <c r="C5114" s="3" t="s">
        <v>5065</v>
      </c>
      <c r="D5114" s="4" t="str">
        <f>HYPERLINK("https://12go.asia/en/travel/dahar-ka-balaji/jaipur", "12Go Link")</f>
        <v>12Go Link</v>
      </c>
      <c r="E5114" s="3" t="s">
        <v>94</v>
      </c>
      <c r="K5114" s="5"/>
    </row>
    <row r="5115">
      <c r="A5115" s="3" t="s">
        <v>3986</v>
      </c>
      <c r="B5115" s="3" t="s">
        <v>3986</v>
      </c>
      <c r="C5115" s="3" t="s">
        <v>5066</v>
      </c>
      <c r="D5115" s="4" t="str">
        <f>HYPERLINK("https://12go.asia/en/travel/jaipur/dahar-ka-balaji", "12Go Link")</f>
        <v>12Go Link</v>
      </c>
      <c r="E5115" s="3" t="s">
        <v>94</v>
      </c>
      <c r="K5115" s="5"/>
    </row>
    <row r="5116">
      <c r="A5116" s="3" t="s">
        <v>3986</v>
      </c>
      <c r="B5116" s="3" t="s">
        <v>5067</v>
      </c>
      <c r="C5116" s="3" t="s">
        <v>5068</v>
      </c>
      <c r="D5116" s="4" t="str">
        <f>HYPERLINK("https://12go.asia/en/travel/jaipur/sanganer", "12Go Link")</f>
        <v>12Go Link</v>
      </c>
      <c r="E5116" s="3" t="s">
        <v>94</v>
      </c>
      <c r="K5116" s="5"/>
    </row>
    <row r="5117">
      <c r="A5117" s="3" t="s">
        <v>5069</v>
      </c>
      <c r="B5117" s="3" t="s">
        <v>3665</v>
      </c>
      <c r="C5117" s="3" t="s">
        <v>5070</v>
      </c>
      <c r="D5117" s="4" t="str">
        <f>HYPERLINK("https://12go.asia/en/travel/jalandhar/ambala-city", "12Go Link")</f>
        <v>12Go Link</v>
      </c>
      <c r="E5117" s="3" t="s">
        <v>94</v>
      </c>
      <c r="K5117" s="5"/>
    </row>
    <row r="5118">
      <c r="A5118" s="3" t="s">
        <v>5069</v>
      </c>
      <c r="B5118" s="3" t="s">
        <v>4113</v>
      </c>
      <c r="C5118" s="3" t="s">
        <v>5071</v>
      </c>
      <c r="D5118" s="4" t="str">
        <f>HYPERLINK("https://12go.asia/en/travel/jalandhar/borivali", "12Go Link")</f>
        <v>12Go Link</v>
      </c>
      <c r="E5118" s="3" t="s">
        <v>94</v>
      </c>
      <c r="K5118" s="5"/>
    </row>
    <row r="5119">
      <c r="A5119" s="3" t="s">
        <v>5069</v>
      </c>
      <c r="B5119" s="3" t="s">
        <v>3649</v>
      </c>
      <c r="C5119" s="3" t="s">
        <v>5072</v>
      </c>
      <c r="D5119" s="4" t="str">
        <f>HYPERLINK("https://12go.asia/en/travel/jalandhar/ayodhya-cantt", "12Go Link")</f>
        <v>12Go Link</v>
      </c>
      <c r="E5119" s="3" t="s">
        <v>94</v>
      </c>
      <c r="K5119" s="5"/>
    </row>
    <row r="5120">
      <c r="A5120" s="3" t="s">
        <v>5069</v>
      </c>
      <c r="B5120" s="3" t="s">
        <v>3649</v>
      </c>
      <c r="C5120" s="3" t="s">
        <v>5073</v>
      </c>
      <c r="D5120" s="4" t="str">
        <f>HYPERLINK("https://12go.asia/en/travel/jalandhar/faizabad", "12Go Link")</f>
        <v>12Go Link</v>
      </c>
      <c r="E5120" s="3" t="s">
        <v>94</v>
      </c>
      <c r="K5120" s="5"/>
    </row>
    <row r="5121">
      <c r="A5121" s="3" t="s">
        <v>5069</v>
      </c>
      <c r="B5121" s="3" t="s">
        <v>3663</v>
      </c>
      <c r="C5121" s="3" t="s">
        <v>5074</v>
      </c>
      <c r="D5121" s="4" t="str">
        <f>HYPERLINK("https://12go.asia/en/travel/jalandhar-cant/jammu-tawi", "12Go Link")</f>
        <v>12Go Link</v>
      </c>
      <c r="E5121" s="3" t="s">
        <v>94</v>
      </c>
      <c r="K5121" s="5"/>
    </row>
    <row r="5122">
      <c r="A5122" s="3" t="s">
        <v>4168</v>
      </c>
      <c r="B5122" s="3" t="s">
        <v>3647</v>
      </c>
      <c r="C5122" s="3" t="s">
        <v>5075</v>
      </c>
      <c r="D5122" s="4" t="str">
        <f>HYPERLINK("https://12go.asia/en/travel/jamalpur-junction/delhi", "12Go Link")</f>
        <v>12Go Link</v>
      </c>
      <c r="E5122" s="3" t="s">
        <v>94</v>
      </c>
      <c r="K5122" s="5"/>
    </row>
    <row r="5123">
      <c r="A5123" s="3" t="s">
        <v>4168</v>
      </c>
      <c r="B5123" s="3" t="s">
        <v>3647</v>
      </c>
      <c r="C5123" s="3" t="s">
        <v>5076</v>
      </c>
      <c r="D5123" s="4" t="str">
        <f>HYPERLINK("https://12go.asia/en/travel/jamalpur/delhi", "12Go Link")</f>
        <v>12Go Link</v>
      </c>
      <c r="E5123" s="3" t="s">
        <v>94</v>
      </c>
      <c r="K5123" s="5"/>
    </row>
    <row r="5124">
      <c r="A5124" s="3" t="s">
        <v>3663</v>
      </c>
      <c r="B5124" s="3" t="s">
        <v>3665</v>
      </c>
      <c r="C5124" s="3" t="s">
        <v>5077</v>
      </c>
      <c r="D5124" s="4" t="str">
        <f>HYPERLINK("https://12go.asia/en/travel/jammu-tawi/ambala-city", "12Go Link")</f>
        <v>12Go Link</v>
      </c>
      <c r="E5124" s="3" t="s">
        <v>94</v>
      </c>
      <c r="K5124" s="5"/>
    </row>
    <row r="5125">
      <c r="A5125" s="3" t="s">
        <v>3663</v>
      </c>
      <c r="B5125" s="3" t="s">
        <v>4840</v>
      </c>
      <c r="C5125" s="3" t="s">
        <v>5078</v>
      </c>
      <c r="D5125" s="4" t="str">
        <f>HYPERLINK("https://12go.asia/en/travel/jammu/ayodhya", "12Go Link")</f>
        <v>12Go Link</v>
      </c>
      <c r="E5125" s="3" t="s">
        <v>94</v>
      </c>
      <c r="K5125" s="5"/>
    </row>
    <row r="5126">
      <c r="A5126" s="3" t="s">
        <v>3663</v>
      </c>
      <c r="B5126" s="3" t="s">
        <v>5079</v>
      </c>
      <c r="C5126" s="3" t="s">
        <v>5080</v>
      </c>
      <c r="D5126" s="4" t="str">
        <f>HYPERLINK("https://12go.asia/en/travel/jammu-tawi/batala-junction", "12Go Link")</f>
        <v>12Go Link</v>
      </c>
      <c r="E5126" s="3" t="s">
        <v>94</v>
      </c>
      <c r="K5126" s="5"/>
    </row>
    <row r="5127">
      <c r="A5127" s="3" t="s">
        <v>3663</v>
      </c>
      <c r="B5127" s="3" t="s">
        <v>4383</v>
      </c>
      <c r="C5127" s="3" t="s">
        <v>5081</v>
      </c>
      <c r="D5127" s="4" t="str">
        <f>HYPERLINK("https://12go.asia/en/travel/jammu-tawi/chhapra", "12Go Link")</f>
        <v>12Go Link</v>
      </c>
      <c r="E5127" s="3" t="s">
        <v>94</v>
      </c>
      <c r="K5127" s="5"/>
    </row>
    <row r="5128">
      <c r="A5128" s="3" t="s">
        <v>3663</v>
      </c>
      <c r="B5128" s="3" t="s">
        <v>4383</v>
      </c>
      <c r="C5128" s="3" t="s">
        <v>5082</v>
      </c>
      <c r="D5128" s="4" t="str">
        <f>HYPERLINK("https://12go.asia/en/travel/jammu/chhapra", "12Go Link")</f>
        <v>12Go Link</v>
      </c>
      <c r="E5128" s="3" t="s">
        <v>94</v>
      </c>
      <c r="K5128" s="5"/>
    </row>
    <row r="5129">
      <c r="A5129" s="3" t="s">
        <v>5083</v>
      </c>
      <c r="B5129" s="3" t="s">
        <v>4079</v>
      </c>
      <c r="C5129" s="3" t="s">
        <v>5084</v>
      </c>
      <c r="D5129" s="4" t="str">
        <f>HYPERLINK("https://12go.asia/en/travel/jamnagar/somnath", "12Go Link")</f>
        <v>12Go Link</v>
      </c>
      <c r="E5129" s="3" t="s">
        <v>94</v>
      </c>
      <c r="K5129" s="5"/>
    </row>
    <row r="5130">
      <c r="A5130" s="3" t="s">
        <v>4402</v>
      </c>
      <c r="B5130" s="3" t="s">
        <v>3797</v>
      </c>
      <c r="C5130" s="3" t="s">
        <v>5085</v>
      </c>
      <c r="D5130" s="4" t="str">
        <f>HYPERLINK("https://12go.asia/en/travel/jamshedpur/asansol", "12Go Link")</f>
        <v>12Go Link</v>
      </c>
      <c r="E5130" s="3" t="s">
        <v>94</v>
      </c>
      <c r="K5130" s="5"/>
    </row>
    <row r="5131">
      <c r="A5131" s="3" t="s">
        <v>4507</v>
      </c>
      <c r="B5131" s="3" t="s">
        <v>3917</v>
      </c>
      <c r="C5131" s="3" t="s">
        <v>5086</v>
      </c>
      <c r="D5131" s="4" t="str">
        <f>HYPERLINK("https://12go.asia/en/travel/jamui/patna", "12Go Link")</f>
        <v>12Go Link</v>
      </c>
      <c r="E5131" s="3" t="s">
        <v>94</v>
      </c>
      <c r="K5131" s="5"/>
    </row>
    <row r="5132">
      <c r="A5132" s="3" t="s">
        <v>4507</v>
      </c>
      <c r="B5132" s="3" t="s">
        <v>3917</v>
      </c>
      <c r="C5132" s="3" t="s">
        <v>5087</v>
      </c>
      <c r="D5132" s="4" t="str">
        <f>HYPERLINK("https://12go.asia/en/travel/jamui/patna-jn", "12Go Link")</f>
        <v>12Go Link</v>
      </c>
      <c r="E5132" s="3" t="s">
        <v>94</v>
      </c>
      <c r="K5132" s="5"/>
    </row>
    <row r="5133">
      <c r="A5133" s="3" t="s">
        <v>4507</v>
      </c>
      <c r="B5133" s="3" t="s">
        <v>3917</v>
      </c>
      <c r="C5133" s="3" t="s">
        <v>5088</v>
      </c>
      <c r="D5133" s="4" t="str">
        <f>HYPERLINK("https://12go.asia/en/travel/jamui/rajendra-nagar", "12Go Link")</f>
        <v>12Go Link</v>
      </c>
      <c r="E5133" s="3" t="s">
        <v>94</v>
      </c>
      <c r="K5133" s="5"/>
    </row>
    <row r="5134">
      <c r="A5134" s="3" t="s">
        <v>3945</v>
      </c>
      <c r="B5134" s="3" t="s">
        <v>3700</v>
      </c>
      <c r="C5134" s="3" t="s">
        <v>5089</v>
      </c>
      <c r="D5134" s="4" t="str">
        <f>HYPERLINK("https://12go.asia/en/travel/jasidih-deoghar/andal", "12Go Link")</f>
        <v>12Go Link</v>
      </c>
      <c r="E5134" s="3" t="s">
        <v>94</v>
      </c>
      <c r="K5134" s="5"/>
    </row>
    <row r="5135">
      <c r="A5135" s="3" t="s">
        <v>3945</v>
      </c>
      <c r="B5135" s="3" t="s">
        <v>3700</v>
      </c>
      <c r="C5135" s="3" t="s">
        <v>5090</v>
      </c>
      <c r="D5135" s="4" t="str">
        <f>HYPERLINK("https://12go.asia/en/travel/jasidih-junction/andal-junction", "12Go Link")</f>
        <v>12Go Link</v>
      </c>
      <c r="E5135" s="3" t="s">
        <v>94</v>
      </c>
      <c r="K5135" s="5"/>
    </row>
    <row r="5136">
      <c r="A5136" s="3" t="s">
        <v>3945</v>
      </c>
      <c r="B5136" s="3" t="s">
        <v>5091</v>
      </c>
      <c r="C5136" s="3" t="s">
        <v>5092</v>
      </c>
      <c r="D5136" s="4" t="str">
        <f>HYPERLINK("https://12go.asia/en/travel/jasidih-deoghar/bairgania", "12Go Link")</f>
        <v>12Go Link</v>
      </c>
      <c r="E5136" s="3" t="s">
        <v>94</v>
      </c>
      <c r="K5136" s="5"/>
    </row>
    <row r="5137">
      <c r="A5137" s="3" t="s">
        <v>3945</v>
      </c>
      <c r="B5137" s="3" t="s">
        <v>5091</v>
      </c>
      <c r="C5137" s="3" t="s">
        <v>5093</v>
      </c>
      <c r="D5137" s="4" t="str">
        <f>HYPERLINK("https://12go.asia/en/travel/jasidih-junction/bairgania", "12Go Link")</f>
        <v>12Go Link</v>
      </c>
      <c r="E5137" s="3" t="s">
        <v>94</v>
      </c>
      <c r="K5137" s="5"/>
    </row>
    <row r="5138">
      <c r="A5138" s="3" t="s">
        <v>3945</v>
      </c>
      <c r="B5138" s="3" t="s">
        <v>4460</v>
      </c>
      <c r="C5138" s="3" t="s">
        <v>5094</v>
      </c>
      <c r="D5138" s="4" t="str">
        <f>HYPERLINK("https://12go.asia/en/travel/jasidih-deoghar/darbhanga", "12Go Link")</f>
        <v>12Go Link</v>
      </c>
      <c r="E5138" s="3" t="s">
        <v>94</v>
      </c>
      <c r="K5138" s="5"/>
    </row>
    <row r="5139">
      <c r="A5139" s="3" t="s">
        <v>3945</v>
      </c>
      <c r="B5139" s="3" t="s">
        <v>4460</v>
      </c>
      <c r="C5139" s="3" t="s">
        <v>5095</v>
      </c>
      <c r="D5139" s="4" t="str">
        <f>HYPERLINK("https://12go.asia/en/travel/jasidih-junction/darbhanga", "12Go Link")</f>
        <v>12Go Link</v>
      </c>
      <c r="E5139" s="3" t="s">
        <v>94</v>
      </c>
      <c r="K5139" s="5"/>
    </row>
    <row r="5140">
      <c r="A5140" s="3" t="s">
        <v>3945</v>
      </c>
      <c r="B5140" s="3" t="s">
        <v>4156</v>
      </c>
      <c r="C5140" s="3" t="s">
        <v>5096</v>
      </c>
      <c r="D5140" s="4" t="str">
        <f>HYPERLINK("https://12go.asia/en/travel/jasidih-deoghar/deoghar", "12Go Link")</f>
        <v>12Go Link</v>
      </c>
      <c r="E5140" s="3" t="s">
        <v>94</v>
      </c>
      <c r="K5140" s="5"/>
    </row>
    <row r="5141">
      <c r="A5141" s="3" t="s">
        <v>3945</v>
      </c>
      <c r="B5141" s="3" t="s">
        <v>4156</v>
      </c>
      <c r="C5141" s="3" t="s">
        <v>5097</v>
      </c>
      <c r="D5141" s="4" t="str">
        <f>HYPERLINK("https://12go.asia/en/travel/jasidih-junction/deoghar-junction", "12Go Link")</f>
        <v>12Go Link</v>
      </c>
      <c r="E5141" s="3" t="s">
        <v>94</v>
      </c>
      <c r="K5141" s="5"/>
    </row>
    <row r="5142">
      <c r="A5142" s="3" t="s">
        <v>3945</v>
      </c>
      <c r="B5142" s="3" t="s">
        <v>4530</v>
      </c>
      <c r="C5142" s="3" t="s">
        <v>5098</v>
      </c>
      <c r="D5142" s="4" t="str">
        <f>HYPERLINK("https://12go.asia/en/travel/jasidih-deoghar/muzaffarpur", "12Go Link")</f>
        <v>12Go Link</v>
      </c>
      <c r="E5142" s="3" t="s">
        <v>94</v>
      </c>
      <c r="K5142" s="5"/>
    </row>
    <row r="5143">
      <c r="A5143" s="3" t="s">
        <v>3945</v>
      </c>
      <c r="B5143" s="3" t="s">
        <v>4530</v>
      </c>
      <c r="C5143" s="3" t="s">
        <v>5099</v>
      </c>
      <c r="D5143" s="4" t="str">
        <f>HYPERLINK("https://12go.asia/en/travel/jasidih-junction/muzaffarpur-junction", "12Go Link")</f>
        <v>12Go Link</v>
      </c>
      <c r="E5143" s="3" t="s">
        <v>94</v>
      </c>
      <c r="K5143" s="5"/>
    </row>
    <row r="5144">
      <c r="A5144" s="3" t="s">
        <v>3945</v>
      </c>
      <c r="B5144" s="3" t="s">
        <v>3759</v>
      </c>
      <c r="C5144" s="3" t="s">
        <v>5100</v>
      </c>
      <c r="D5144" s="4" t="str">
        <f>HYPERLINK("https://12go.asia/en/travel/jasidih-deoghar/ranchi", "12Go Link")</f>
        <v>12Go Link</v>
      </c>
      <c r="E5144" s="3" t="s">
        <v>94</v>
      </c>
      <c r="K5144" s="5"/>
    </row>
    <row r="5145">
      <c r="A5145" s="3" t="s">
        <v>3945</v>
      </c>
      <c r="B5145" s="3" t="s">
        <v>3759</v>
      </c>
      <c r="C5145" s="3" t="s">
        <v>5101</v>
      </c>
      <c r="D5145" s="4" t="str">
        <f>HYPERLINK("https://12go.asia/en/travel/jasidih-junction/ranchi", "12Go Link")</f>
        <v>12Go Link</v>
      </c>
      <c r="E5145" s="3" t="s">
        <v>94</v>
      </c>
      <c r="K5145" s="5"/>
    </row>
    <row r="5146">
      <c r="A5146" s="3" t="s">
        <v>3945</v>
      </c>
      <c r="B5146" s="3" t="s">
        <v>4461</v>
      </c>
      <c r="C5146" s="3" t="s">
        <v>5102</v>
      </c>
      <c r="D5146" s="4" t="str">
        <f>HYPERLINK("https://12go.asia/en/travel/jasidih-deoghar/sitamarhi", "12Go Link")</f>
        <v>12Go Link</v>
      </c>
      <c r="E5146" s="3" t="s">
        <v>94</v>
      </c>
      <c r="K5146" s="5"/>
    </row>
    <row r="5147">
      <c r="A5147" s="3" t="s">
        <v>3945</v>
      </c>
      <c r="B5147" s="3" t="s">
        <v>4461</v>
      </c>
      <c r="C5147" s="3" t="s">
        <v>5103</v>
      </c>
      <c r="D5147" s="4" t="str">
        <f>HYPERLINK("https://12go.asia/en/travel/jasidih-junction/sitamarhi-jn", "12Go Link")</f>
        <v>12Go Link</v>
      </c>
      <c r="E5147" s="3" t="s">
        <v>94</v>
      </c>
      <c r="K5147" s="5"/>
    </row>
    <row r="5148">
      <c r="A5148" s="3" t="s">
        <v>3945</v>
      </c>
      <c r="B5148" s="3" t="s">
        <v>3666</v>
      </c>
      <c r="C5148" s="3" t="s">
        <v>5104</v>
      </c>
      <c r="D5148" s="4" t="str">
        <f>HYPERLINK("https://12go.asia/en/travel/jasidih-junction/mughal-sarai-junction", "12Go Link")</f>
        <v>12Go Link</v>
      </c>
      <c r="E5148" s="3" t="s">
        <v>94</v>
      </c>
      <c r="K5148" s="5"/>
    </row>
    <row r="5149">
      <c r="A5149" s="3" t="s">
        <v>5105</v>
      </c>
      <c r="B5149" s="3" t="s">
        <v>4567</v>
      </c>
      <c r="C5149" s="3" t="s">
        <v>5106</v>
      </c>
      <c r="D5149" s="4" t="str">
        <f>HYPERLINK("https://12go.asia/en/travel/jhalawar-road/kota", "12Go Link")</f>
        <v>12Go Link</v>
      </c>
      <c r="E5149" s="3" t="s">
        <v>94</v>
      </c>
      <c r="K5149" s="5"/>
    </row>
    <row r="5150">
      <c r="A5150" s="3" t="s">
        <v>5105</v>
      </c>
      <c r="B5150" s="3" t="s">
        <v>4567</v>
      </c>
      <c r="C5150" s="3" t="s">
        <v>5107</v>
      </c>
      <c r="D5150" s="4" t="str">
        <f>HYPERLINK("https://12go.asia/en/travel/jhalawar-road/kota-jn", "12Go Link")</f>
        <v>12Go Link</v>
      </c>
      <c r="E5150" s="3" t="s">
        <v>94</v>
      </c>
      <c r="K5150" s="5"/>
    </row>
    <row r="5151">
      <c r="A5151" s="3" t="s">
        <v>3805</v>
      </c>
      <c r="B5151" s="3" t="s">
        <v>4809</v>
      </c>
      <c r="C5151" s="3" t="s">
        <v>5108</v>
      </c>
      <c r="D5151" s="4" t="str">
        <f>HYPERLINK("https://12go.asia/en/travel/virangana-lakshmibai/guna", "12Go Link")</f>
        <v>12Go Link</v>
      </c>
      <c r="E5151" s="3" t="s">
        <v>94</v>
      </c>
      <c r="K5151" s="5"/>
    </row>
    <row r="5152">
      <c r="A5152" s="3" t="s">
        <v>3805</v>
      </c>
      <c r="B5152" s="3" t="s">
        <v>167</v>
      </c>
      <c r="C5152" s="3" t="s">
        <v>5109</v>
      </c>
      <c r="D5152" s="4" t="str">
        <f>HYPERLINK("https://12go.asia/en/travel/jhansi/mathura", "12Go Link")</f>
        <v>12Go Link</v>
      </c>
      <c r="E5152" s="3" t="s">
        <v>94</v>
      </c>
      <c r="K5152" s="5"/>
    </row>
    <row r="5153">
      <c r="A5153" s="3" t="s">
        <v>3805</v>
      </c>
      <c r="B5153" s="3" t="s">
        <v>167</v>
      </c>
      <c r="C5153" s="3" t="s">
        <v>5110</v>
      </c>
      <c r="D5153" s="4" t="str">
        <f>HYPERLINK("https://12go.asia/en/travel/virangana-lakshmibai/mathura-jn", "12Go Link")</f>
        <v>12Go Link</v>
      </c>
      <c r="E5153" s="3" t="s">
        <v>94</v>
      </c>
      <c r="K5153" s="5"/>
    </row>
    <row r="5154">
      <c r="A5154" s="3" t="s">
        <v>3805</v>
      </c>
      <c r="B5154" s="3" t="s">
        <v>5111</v>
      </c>
      <c r="C5154" s="3" t="s">
        <v>5112</v>
      </c>
      <c r="D5154" s="4" t="str">
        <f>HYPERLINK("https://12go.asia/en/travel/virangana-lakshmibai/yog-nagari-rishikesh", "12Go Link")</f>
        <v>12Go Link</v>
      </c>
      <c r="E5154" s="3" t="s">
        <v>94</v>
      </c>
      <c r="K5154" s="5"/>
    </row>
    <row r="5155">
      <c r="A5155" s="3" t="s">
        <v>3805</v>
      </c>
      <c r="B5155" s="3" t="s">
        <v>4233</v>
      </c>
      <c r="C5155" s="3" t="s">
        <v>5113</v>
      </c>
      <c r="D5155" s="4" t="str">
        <f>HYPERLINK("https://12go.asia/en/travel/jhansi/uttarakhand", "12Go Link")</f>
        <v>12Go Link</v>
      </c>
      <c r="E5155" s="3" t="s">
        <v>94</v>
      </c>
      <c r="K5155" s="5"/>
    </row>
    <row r="5156">
      <c r="A5156" s="3" t="s">
        <v>5114</v>
      </c>
      <c r="B5156" s="3" t="s">
        <v>3939</v>
      </c>
      <c r="C5156" s="3" t="s">
        <v>5115</v>
      </c>
      <c r="D5156" s="4" t="str">
        <f>HYPERLINK("https://12go.asia/en/travel/jind-junction/chandigarh", "12Go Link")</f>
        <v>12Go Link</v>
      </c>
      <c r="E5156" s="3" t="s">
        <v>94</v>
      </c>
      <c r="K5156" s="5"/>
    </row>
    <row r="5157">
      <c r="A5157" s="3" t="s">
        <v>5114</v>
      </c>
      <c r="B5157" s="3" t="s">
        <v>3939</v>
      </c>
      <c r="C5157" s="3" t="s">
        <v>5116</v>
      </c>
      <c r="D5157" s="4" t="str">
        <f>HYPERLINK("https://12go.asia/en/travel/jind/chandigarh", "12Go Link")</f>
        <v>12Go Link</v>
      </c>
      <c r="E5157" s="3" t="s">
        <v>94</v>
      </c>
      <c r="K5157" s="5"/>
    </row>
    <row r="5158">
      <c r="A5158" s="3" t="s">
        <v>4951</v>
      </c>
      <c r="B5158" s="3" t="s">
        <v>5117</v>
      </c>
      <c r="C5158" s="3" t="s">
        <v>5118</v>
      </c>
      <c r="D5158" s="4" t="str">
        <f>HYPERLINK("https://12go.asia/en/travel/jodhpur-jn/kuchaman-city", "12Go Link")</f>
        <v>12Go Link</v>
      </c>
      <c r="E5158" s="3" t="s">
        <v>94</v>
      </c>
      <c r="K5158" s="5"/>
    </row>
    <row r="5159">
      <c r="A5159" s="3" t="s">
        <v>4951</v>
      </c>
      <c r="B5159" s="3" t="s">
        <v>5117</v>
      </c>
      <c r="C5159" s="3" t="s">
        <v>5119</v>
      </c>
      <c r="D5159" s="4" t="str">
        <f>HYPERLINK("https://12go.asia/en/travel/jodhpur/kuchaman-city", "12Go Link")</f>
        <v>12Go Link</v>
      </c>
      <c r="E5159" s="3" t="s">
        <v>94</v>
      </c>
      <c r="K5159" s="5"/>
    </row>
    <row r="5160">
      <c r="A5160" s="3" t="s">
        <v>3900</v>
      </c>
      <c r="B5160" s="3" t="s">
        <v>160</v>
      </c>
      <c r="C5160" s="3" t="s">
        <v>5120</v>
      </c>
      <c r="D5160" s="4" t="str">
        <f>HYPERLINK("https://12go.asia/en/travel/jolarpet/kurnool", "12Go Link")</f>
        <v>12Go Link</v>
      </c>
      <c r="E5160" s="3" t="s">
        <v>94</v>
      </c>
      <c r="K5160" s="5"/>
    </row>
    <row r="5161">
      <c r="A5161" s="3" t="s">
        <v>3900</v>
      </c>
      <c r="B5161" s="3" t="s">
        <v>160</v>
      </c>
      <c r="C5161" s="3" t="s">
        <v>5121</v>
      </c>
      <c r="D5161" s="4" t="str">
        <f>HYPERLINK("https://12go.asia/en/travel/jolarpettai/kurnool-town", "12Go Link")</f>
        <v>12Go Link</v>
      </c>
      <c r="E5161" s="3" t="s">
        <v>94</v>
      </c>
      <c r="K5161" s="5"/>
    </row>
    <row r="5162">
      <c r="A5162" s="3" t="s">
        <v>3900</v>
      </c>
      <c r="B5162" s="3" t="s">
        <v>5122</v>
      </c>
      <c r="C5162" s="3" t="s">
        <v>5123</v>
      </c>
      <c r="D5162" s="4" t="str">
        <f>HYPERLINK("https://12go.asia/en/travel/jolarpet/ranipet", "12Go Link")</f>
        <v>12Go Link</v>
      </c>
      <c r="E5162" s="3" t="s">
        <v>94</v>
      </c>
      <c r="K5162" s="5"/>
    </row>
    <row r="5163">
      <c r="A5163" s="3" t="s">
        <v>4253</v>
      </c>
      <c r="B5163" s="3" t="s">
        <v>5124</v>
      </c>
      <c r="C5163" s="3" t="s">
        <v>5125</v>
      </c>
      <c r="D5163" s="4" t="str">
        <f>HYPERLINK("https://12go.asia/en/travel/junagadh-junction/rajkot", "12Go Link")</f>
        <v>12Go Link</v>
      </c>
      <c r="E5163" s="3" t="s">
        <v>94</v>
      </c>
      <c r="K5163" s="5"/>
    </row>
    <row r="5164">
      <c r="A5164" s="3" t="s">
        <v>157</v>
      </c>
      <c r="B5164" s="3" t="s">
        <v>3847</v>
      </c>
      <c r="C5164" s="3" t="s">
        <v>5126</v>
      </c>
      <c r="D5164" s="4" t="str">
        <f>HYPERLINK("https://12go.asia/en/travel/kalaburagi-junction/ksr-bangalore", "12Go Link")</f>
        <v>12Go Link</v>
      </c>
      <c r="E5164" s="3" t="s">
        <v>94</v>
      </c>
      <c r="K5164" s="5"/>
    </row>
    <row r="5165">
      <c r="A5165" s="3" t="s">
        <v>157</v>
      </c>
      <c r="B5165" s="3" t="s">
        <v>3847</v>
      </c>
      <c r="C5165" s="3" t="s">
        <v>5127</v>
      </c>
      <c r="D5165" s="4" t="str">
        <f>HYPERLINK("https://12go.asia/en/travel/kalaburagi-junction/new-bengaluru-terminal", "12Go Link")</f>
        <v>12Go Link</v>
      </c>
      <c r="E5165" s="3" t="s">
        <v>94</v>
      </c>
      <c r="K5165" s="5"/>
    </row>
    <row r="5166">
      <c r="A5166" s="3" t="s">
        <v>3682</v>
      </c>
      <c r="B5166" s="3" t="s">
        <v>4840</v>
      </c>
      <c r="C5166" s="3" t="s">
        <v>5128</v>
      </c>
      <c r="D5166" s="4" t="str">
        <f>HYPERLINK("https://12go.asia/en/travel/kalyan/ayodhya", "12Go Link")</f>
        <v>12Go Link</v>
      </c>
      <c r="E5166" s="3" t="s">
        <v>94</v>
      </c>
      <c r="K5166" s="5"/>
    </row>
    <row r="5167">
      <c r="A5167" s="3" t="s">
        <v>3682</v>
      </c>
      <c r="B5167" s="3" t="s">
        <v>3993</v>
      </c>
      <c r="C5167" s="3" t="s">
        <v>5129</v>
      </c>
      <c r="D5167" s="4" t="str">
        <f>HYPERLINK("https://12go.asia/en/travel/kalyan-jn/bhadohi", "12Go Link")</f>
        <v>12Go Link</v>
      </c>
      <c r="E5167" s="3" t="s">
        <v>94</v>
      </c>
      <c r="K5167" s="5"/>
    </row>
    <row r="5168">
      <c r="A5168" s="3" t="s">
        <v>3682</v>
      </c>
      <c r="B5168" s="3" t="s">
        <v>3993</v>
      </c>
      <c r="C5168" s="3" t="s">
        <v>5130</v>
      </c>
      <c r="D5168" s="4" t="str">
        <f>HYPERLINK("https://12go.asia/en/travel/kalyan/bhadohi", "12Go Link")</f>
        <v>12Go Link</v>
      </c>
      <c r="E5168" s="3" t="s">
        <v>94</v>
      </c>
      <c r="K5168" s="5"/>
    </row>
    <row r="5169">
      <c r="A5169" s="3" t="s">
        <v>3682</v>
      </c>
      <c r="B5169" s="3" t="s">
        <v>4719</v>
      </c>
      <c r="C5169" s="3" t="s">
        <v>5131</v>
      </c>
      <c r="D5169" s="4" t="str">
        <f>HYPERLINK("https://12go.asia/en/travel/kalyan-jn/gonda-jn", "12Go Link")</f>
        <v>12Go Link</v>
      </c>
      <c r="E5169" s="3" t="s">
        <v>94</v>
      </c>
      <c r="K5169" s="5"/>
    </row>
    <row r="5170">
      <c r="A5170" s="3" t="s">
        <v>3682</v>
      </c>
      <c r="B5170" s="3" t="s">
        <v>4719</v>
      </c>
      <c r="C5170" s="3" t="s">
        <v>5132</v>
      </c>
      <c r="D5170" s="4" t="str">
        <f>HYPERLINK("https://12go.asia/en/travel/kalyan/gonda", "12Go Link")</f>
        <v>12Go Link</v>
      </c>
      <c r="E5170" s="3" t="s">
        <v>94</v>
      </c>
      <c r="K5170" s="5"/>
    </row>
    <row r="5171">
      <c r="A5171" s="3" t="s">
        <v>3682</v>
      </c>
      <c r="B5171" s="3" t="s">
        <v>5133</v>
      </c>
      <c r="C5171" s="3" t="s">
        <v>5134</v>
      </c>
      <c r="D5171" s="4" t="str">
        <f>HYPERLINK("https://12go.asia/en/travel/kalyan-jn/kudal", "12Go Link")</f>
        <v>12Go Link</v>
      </c>
      <c r="E5171" s="3" t="s">
        <v>94</v>
      </c>
      <c r="K5171" s="5"/>
    </row>
    <row r="5172">
      <c r="A5172" s="3" t="s">
        <v>3682</v>
      </c>
      <c r="B5172" s="3" t="s">
        <v>5133</v>
      </c>
      <c r="C5172" s="3" t="s">
        <v>5135</v>
      </c>
      <c r="D5172" s="4" t="str">
        <f>HYPERLINK("https://12go.asia/en/travel/kalyan/kudal", "12Go Link")</f>
        <v>12Go Link</v>
      </c>
      <c r="E5172" s="3" t="s">
        <v>94</v>
      </c>
      <c r="K5172" s="5"/>
    </row>
    <row r="5173">
      <c r="A5173" s="3" t="s">
        <v>3682</v>
      </c>
      <c r="B5173" s="3" t="s">
        <v>163</v>
      </c>
      <c r="C5173" s="3" t="s">
        <v>5136</v>
      </c>
      <c r="D5173" s="4" t="str">
        <f>HYPERLINK("https://12go.asia/en/travel/kalyan-jn/miraj-junction", "12Go Link")</f>
        <v>12Go Link</v>
      </c>
      <c r="E5173" s="3" t="s">
        <v>94</v>
      </c>
      <c r="K5173" s="5"/>
    </row>
    <row r="5174">
      <c r="A5174" s="3" t="s">
        <v>3682</v>
      </c>
      <c r="B5174" s="3" t="s">
        <v>3752</v>
      </c>
      <c r="C5174" s="3" t="s">
        <v>5137</v>
      </c>
      <c r="D5174" s="4" t="str">
        <f>HYPERLINK("https://12go.asia/en/travel/kalyan-jn/prayagraj-cheoki-jn", "12Go Link")</f>
        <v>12Go Link</v>
      </c>
      <c r="E5174" s="3" t="s">
        <v>94</v>
      </c>
      <c r="K5174" s="5"/>
    </row>
    <row r="5175">
      <c r="A5175" s="3" t="s">
        <v>3682</v>
      </c>
      <c r="B5175" s="3" t="s">
        <v>3752</v>
      </c>
      <c r="C5175" s="3" t="s">
        <v>5138</v>
      </c>
      <c r="D5175" s="4" t="str">
        <f>HYPERLINK("https://12go.asia/en/travel/kalyan-jn/prayagraj-junction", "12Go Link")</f>
        <v>12Go Link</v>
      </c>
      <c r="E5175" s="3" t="s">
        <v>94</v>
      </c>
      <c r="K5175" s="5"/>
    </row>
    <row r="5176">
      <c r="A5176" s="3" t="s">
        <v>3682</v>
      </c>
      <c r="B5176" s="3" t="s">
        <v>3752</v>
      </c>
      <c r="C5176" s="3" t="s">
        <v>5139</v>
      </c>
      <c r="D5176" s="4" t="str">
        <f>HYPERLINK("https://12go.asia/en/travel/kalyan/prayagraj", "12Go Link")</f>
        <v>12Go Link</v>
      </c>
      <c r="E5176" s="3" t="s">
        <v>94</v>
      </c>
      <c r="K5176" s="5"/>
    </row>
    <row r="5177">
      <c r="A5177" s="3" t="s">
        <v>3682</v>
      </c>
      <c r="B5177" s="3" t="s">
        <v>175</v>
      </c>
      <c r="C5177" s="3" t="s">
        <v>5140</v>
      </c>
      <c r="D5177" s="4" t="str">
        <f>HYPERLINK("https://12go.asia/en/travel/kalyan/sangli", "12Go Link")</f>
        <v>12Go Link</v>
      </c>
      <c r="E5177" s="3" t="s">
        <v>94</v>
      </c>
      <c r="K5177" s="5"/>
    </row>
    <row r="5178">
      <c r="A5178" s="3" t="s">
        <v>3682</v>
      </c>
      <c r="B5178" s="3" t="s">
        <v>189</v>
      </c>
      <c r="C5178" s="3" t="s">
        <v>5141</v>
      </c>
      <c r="D5178" s="4" t="str">
        <f>HYPERLINK("https://12go.asia/en/travel/kalyan/vrindavan", "12Go Link")</f>
        <v>12Go Link</v>
      </c>
      <c r="E5178" s="3" t="s">
        <v>94</v>
      </c>
      <c r="K5178" s="5"/>
    </row>
    <row r="5179">
      <c r="A5179" s="3" t="s">
        <v>5142</v>
      </c>
      <c r="B5179" s="3" t="s">
        <v>4182</v>
      </c>
      <c r="C5179" s="3" t="s">
        <v>5143</v>
      </c>
      <c r="D5179" s="4" t="str">
        <f>HYPERLINK("https://12go.asia/en/travel/kanhangad/ernakulam-jn", "12Go Link")</f>
        <v>12Go Link</v>
      </c>
      <c r="E5179" s="3" t="s">
        <v>94</v>
      </c>
      <c r="K5179" s="5"/>
    </row>
    <row r="5180">
      <c r="A5180" s="3" t="s">
        <v>5142</v>
      </c>
      <c r="B5180" s="3" t="s">
        <v>4182</v>
      </c>
      <c r="C5180" s="3" t="s">
        <v>5144</v>
      </c>
      <c r="D5180" s="4" t="str">
        <f>HYPERLINK("https://12go.asia/en/travel/kanhangad/kochi-india", "12Go Link")</f>
        <v>12Go Link</v>
      </c>
      <c r="E5180" s="3" t="s">
        <v>94</v>
      </c>
      <c r="K5180" s="5"/>
    </row>
    <row r="5181">
      <c r="A5181" s="3" t="s">
        <v>5142</v>
      </c>
      <c r="B5181" s="3" t="s">
        <v>5145</v>
      </c>
      <c r="C5181" s="3" t="s">
        <v>5146</v>
      </c>
      <c r="D5181" s="4" t="str">
        <f>HYPERLINK("https://12go.asia/en/travel/kanhangad/payyanur", "12Go Link")</f>
        <v>12Go Link</v>
      </c>
      <c r="E5181" s="3" t="s">
        <v>94</v>
      </c>
      <c r="K5181" s="5"/>
    </row>
    <row r="5182">
      <c r="A5182" s="3" t="s">
        <v>3955</v>
      </c>
      <c r="B5182" s="3" t="s">
        <v>4383</v>
      </c>
      <c r="C5182" s="3" t="s">
        <v>5147</v>
      </c>
      <c r="D5182" s="4" t="str">
        <f>HYPERLINK("https://12go.asia/en/travel/kanpur-central/chhapra", "12Go Link")</f>
        <v>12Go Link</v>
      </c>
      <c r="E5182" s="3" t="s">
        <v>94</v>
      </c>
      <c r="K5182" s="5"/>
    </row>
    <row r="5183">
      <c r="A5183" s="3" t="s">
        <v>3955</v>
      </c>
      <c r="B5183" s="3" t="s">
        <v>4383</v>
      </c>
      <c r="C5183" s="3" t="s">
        <v>5148</v>
      </c>
      <c r="D5183" s="4" t="str">
        <f>HYPERLINK("https://12go.asia/en/travel/kanpur/chhapra", "12Go Link")</f>
        <v>12Go Link</v>
      </c>
      <c r="E5183" s="3" t="s">
        <v>94</v>
      </c>
      <c r="K5183" s="5"/>
    </row>
    <row r="5184">
      <c r="A5184" s="3" t="s">
        <v>3955</v>
      </c>
      <c r="B5184" s="3" t="s">
        <v>3647</v>
      </c>
      <c r="C5184" s="3" t="s">
        <v>5149</v>
      </c>
      <c r="D5184" s="4" t="str">
        <f>HYPERLINK("https://12go.asia/en/travel/govindpuri/anand-vihar-trm", "12Go Link")</f>
        <v>12Go Link</v>
      </c>
      <c r="E5184" s="3" t="s">
        <v>94</v>
      </c>
      <c r="K5184" s="5"/>
    </row>
    <row r="5185">
      <c r="A5185" s="3" t="s">
        <v>3955</v>
      </c>
      <c r="B5185" s="3" t="s">
        <v>4526</v>
      </c>
      <c r="C5185" s="3" t="s">
        <v>5150</v>
      </c>
      <c r="D5185" s="4" t="str">
        <f>HYPERLINK("https://12go.asia/en/travel/kanpur-central/kokrajhar", "12Go Link")</f>
        <v>12Go Link</v>
      </c>
      <c r="E5185" s="3" t="s">
        <v>94</v>
      </c>
      <c r="K5185" s="5"/>
    </row>
    <row r="5186">
      <c r="A5186" s="3" t="s">
        <v>3955</v>
      </c>
      <c r="B5186" s="3" t="s">
        <v>4526</v>
      </c>
      <c r="C5186" s="3" t="s">
        <v>5151</v>
      </c>
      <c r="D5186" s="4" t="str">
        <f>HYPERLINK("https://12go.asia/en/travel/kanpur/kokrajhar", "12Go Link")</f>
        <v>12Go Link</v>
      </c>
      <c r="E5186" s="3" t="s">
        <v>94</v>
      </c>
      <c r="K5186" s="5"/>
    </row>
    <row r="5187">
      <c r="A5187" s="3" t="s">
        <v>3955</v>
      </c>
      <c r="B5187" s="3" t="s">
        <v>3842</v>
      </c>
      <c r="C5187" s="3" t="s">
        <v>5152</v>
      </c>
      <c r="D5187" s="4" t="str">
        <f>HYPERLINK("https://12go.asia/en/travel/govindpuri/new-delhi", "12Go Link")</f>
        <v>12Go Link</v>
      </c>
      <c r="E5187" s="3" t="s">
        <v>94</v>
      </c>
      <c r="K5187" s="5"/>
    </row>
    <row r="5188">
      <c r="A5188" s="3" t="s">
        <v>3955</v>
      </c>
      <c r="B5188" s="3" t="s">
        <v>4196</v>
      </c>
      <c r="C5188" s="3" t="s">
        <v>5153</v>
      </c>
      <c r="D5188" s="4" t="str">
        <f>HYPERLINK("https://12go.asia/en/travel/kanpur-central/samastipur-junction", "12Go Link")</f>
        <v>12Go Link</v>
      </c>
      <c r="E5188" s="3" t="s">
        <v>94</v>
      </c>
      <c r="K5188" s="5"/>
    </row>
    <row r="5189">
      <c r="A5189" s="3" t="s">
        <v>3955</v>
      </c>
      <c r="B5189" s="3" t="s">
        <v>4196</v>
      </c>
      <c r="C5189" s="3" t="s">
        <v>5154</v>
      </c>
      <c r="D5189" s="4" t="str">
        <f>HYPERLINK("https://12go.asia/en/travel/kanpur/samastipur", "12Go Link")</f>
        <v>12Go Link</v>
      </c>
      <c r="E5189" s="3" t="s">
        <v>94</v>
      </c>
      <c r="K5189" s="5"/>
    </row>
    <row r="5190">
      <c r="A5190" s="3" t="s">
        <v>5155</v>
      </c>
      <c r="B5190" s="3" t="s">
        <v>5069</v>
      </c>
      <c r="C5190" s="3" t="s">
        <v>5156</v>
      </c>
      <c r="D5190" s="4" t="str">
        <f>HYPERLINK("https://12go.asia/en/travel/kapurthala/jalandhar", "12Go Link")</f>
        <v>12Go Link</v>
      </c>
      <c r="E5190" s="3" t="s">
        <v>94</v>
      </c>
      <c r="K5190" s="5"/>
    </row>
    <row r="5191">
      <c r="A5191" s="3" t="s">
        <v>5157</v>
      </c>
      <c r="B5191" s="3" t="s">
        <v>3847</v>
      </c>
      <c r="C5191" s="3" t="s">
        <v>5158</v>
      </c>
      <c r="D5191" s="4" t="str">
        <f>HYPERLINK("https://12go.asia/en/travel/karatagi/yesvantpur", "12Go Link")</f>
        <v>12Go Link</v>
      </c>
      <c r="E5191" s="3" t="s">
        <v>94</v>
      </c>
      <c r="K5191" s="5"/>
    </row>
    <row r="5192">
      <c r="A5192" s="3" t="s">
        <v>5157</v>
      </c>
      <c r="B5192" s="3" t="s">
        <v>4172</v>
      </c>
      <c r="C5192" s="3" t="s">
        <v>5159</v>
      </c>
      <c r="D5192" s="4" t="str">
        <f>HYPERLINK("https://12go.asia/en/travel/karatagi/karnataka", "12Go Link")</f>
        <v>12Go Link</v>
      </c>
      <c r="E5192" s="3" t="s">
        <v>94</v>
      </c>
      <c r="K5192" s="5"/>
    </row>
    <row r="5193">
      <c r="A5193" s="3" t="s">
        <v>5160</v>
      </c>
      <c r="B5193" s="3" t="s">
        <v>3970</v>
      </c>
      <c r="C5193" s="3" t="s">
        <v>5161</v>
      </c>
      <c r="D5193" s="4" t="str">
        <f>HYPERLINK("https://12go.asia/en/travel/karjat/navi-mumbai", "12Go Link")</f>
        <v>12Go Link</v>
      </c>
      <c r="E5193" s="3" t="s">
        <v>94</v>
      </c>
      <c r="K5193" s="5"/>
    </row>
    <row r="5194">
      <c r="A5194" s="3" t="s">
        <v>4831</v>
      </c>
      <c r="B5194" s="3" t="s">
        <v>3939</v>
      </c>
      <c r="C5194" s="3" t="s">
        <v>5162</v>
      </c>
      <c r="D5194" s="4" t="str">
        <f>HYPERLINK("https://12go.asia/en/travel/karnal/chandigarh", "12Go Link")</f>
        <v>12Go Link</v>
      </c>
      <c r="E5194" s="3" t="s">
        <v>94</v>
      </c>
      <c r="K5194" s="5"/>
    </row>
    <row r="5195">
      <c r="A5195" s="3" t="s">
        <v>4831</v>
      </c>
      <c r="B5195" s="3" t="s">
        <v>4003</v>
      </c>
      <c r="C5195" s="3" t="s">
        <v>5163</v>
      </c>
      <c r="D5195" s="4" t="str">
        <f>HYPERLINK("https://12go.asia/en/travel/karnal/jammu-and-kashmir", "12Go Link")</f>
        <v>12Go Link</v>
      </c>
      <c r="E5195" s="3" t="s">
        <v>94</v>
      </c>
      <c r="K5195" s="5"/>
    </row>
    <row r="5196">
      <c r="A5196" s="3" t="s">
        <v>4831</v>
      </c>
      <c r="B5196" s="3" t="s">
        <v>4005</v>
      </c>
      <c r="C5196" s="3" t="s">
        <v>5164</v>
      </c>
      <c r="D5196" s="4" t="str">
        <f>HYPERLINK("https://12go.asia/en/travel/karnal/jammu-kashmir", "12Go Link")</f>
        <v>12Go Link</v>
      </c>
      <c r="E5196" s="3" t="s">
        <v>94</v>
      </c>
      <c r="K5196" s="5"/>
    </row>
    <row r="5197">
      <c r="A5197" s="3" t="s">
        <v>4831</v>
      </c>
      <c r="B5197" s="3" t="s">
        <v>4075</v>
      </c>
      <c r="C5197" s="3" t="s">
        <v>5165</v>
      </c>
      <c r="D5197" s="4" t="str">
        <f>HYPERLINK("https://12go.asia/en/travel/karnal/punjab", "12Go Link")</f>
        <v>12Go Link</v>
      </c>
      <c r="E5197" s="3" t="s">
        <v>94</v>
      </c>
      <c r="K5197" s="5"/>
    </row>
    <row r="5198">
      <c r="A5198" s="3" t="s">
        <v>4172</v>
      </c>
      <c r="B5198" s="3" t="s">
        <v>5166</v>
      </c>
      <c r="C5198" s="3" t="s">
        <v>5167</v>
      </c>
      <c r="D5198" s="4" t="str">
        <f>HYPERLINK("https://12go.asia/en/travel/karnataka/ambur", "12Go Link")</f>
        <v>12Go Link</v>
      </c>
      <c r="E5198" s="3" t="s">
        <v>94</v>
      </c>
      <c r="K5198" s="5"/>
    </row>
    <row r="5199">
      <c r="A5199" s="3" t="s">
        <v>4172</v>
      </c>
      <c r="B5199" s="3" t="s">
        <v>3784</v>
      </c>
      <c r="C5199" s="3" t="s">
        <v>5168</v>
      </c>
      <c r="D5199" s="4" t="str">
        <f>HYPERLINK("https://12go.asia/en/travel/karnataka/angamaly", "12Go Link")</f>
        <v>12Go Link</v>
      </c>
      <c r="E5199" s="3" t="s">
        <v>94</v>
      </c>
      <c r="K5199" s="5"/>
    </row>
    <row r="5200">
      <c r="A5200" s="3" t="s">
        <v>4172</v>
      </c>
      <c r="B5200" s="3" t="s">
        <v>3852</v>
      </c>
      <c r="C5200" s="3" t="s">
        <v>5169</v>
      </c>
      <c r="D5200" s="4" t="str">
        <f>HYPERLINK("https://12go.asia/en/travel/karnataka/ankola", "12Go Link")</f>
        <v>12Go Link</v>
      </c>
      <c r="E5200" s="3" t="s">
        <v>94</v>
      </c>
      <c r="K5200" s="5"/>
    </row>
    <row r="5201">
      <c r="A5201" s="3" t="s">
        <v>4172</v>
      </c>
      <c r="B5201" s="3" t="s">
        <v>3862</v>
      </c>
      <c r="C5201" s="3" t="s">
        <v>5170</v>
      </c>
      <c r="D5201" s="4" t="str">
        <f>HYPERLINK("https://12go.asia/en/travel/karnataka/bidar", "12Go Link")</f>
        <v>12Go Link</v>
      </c>
      <c r="E5201" s="3" t="s">
        <v>94</v>
      </c>
      <c r="K5201" s="5"/>
    </row>
    <row r="5202">
      <c r="A5202" s="3" t="s">
        <v>4172</v>
      </c>
      <c r="B5202" s="3" t="s">
        <v>4001</v>
      </c>
      <c r="C5202" s="3" t="s">
        <v>5171</v>
      </c>
      <c r="D5202" s="4" t="str">
        <f>HYPERLINK("https://12go.asia/en/travel/karnataka/bihar", "12Go Link")</f>
        <v>12Go Link</v>
      </c>
      <c r="E5202" s="3" t="s">
        <v>94</v>
      </c>
      <c r="K5202" s="5"/>
    </row>
    <row r="5203">
      <c r="A5203" s="3" t="s">
        <v>4172</v>
      </c>
      <c r="B5203" s="3" t="s">
        <v>4211</v>
      </c>
      <c r="C5203" s="3" t="s">
        <v>5172</v>
      </c>
      <c r="D5203" s="4" t="str">
        <f>HYPERLINK("https://12go.asia/en/travel/karnataka/bijapur", "12Go Link")</f>
        <v>12Go Link</v>
      </c>
      <c r="E5203" s="3" t="s">
        <v>94</v>
      </c>
      <c r="K5203" s="5"/>
    </row>
    <row r="5204">
      <c r="A5204" s="3" t="s">
        <v>4172</v>
      </c>
      <c r="B5204" s="3" t="s">
        <v>3866</v>
      </c>
      <c r="C5204" s="3" t="s">
        <v>5173</v>
      </c>
      <c r="D5204" s="4" t="str">
        <f>HYPERLINK("https://12go.asia/en/travel/karnataka/brahmapur", "12Go Link")</f>
        <v>12Go Link</v>
      </c>
      <c r="E5204" s="3" t="s">
        <v>94</v>
      </c>
      <c r="K5204" s="5"/>
    </row>
    <row r="5205">
      <c r="A5205" s="3" t="s">
        <v>4172</v>
      </c>
      <c r="B5205" s="3" t="s">
        <v>5174</v>
      </c>
      <c r="C5205" s="3" t="s">
        <v>5175</v>
      </c>
      <c r="D5205" s="4" t="str">
        <f>HYPERLINK("https://12go.asia/en/travel/karnataka/challakere", "12Go Link")</f>
        <v>12Go Link</v>
      </c>
      <c r="E5205" s="3" t="s">
        <v>94</v>
      </c>
      <c r="K5205" s="5"/>
    </row>
    <row r="5206">
      <c r="A5206" s="3" t="s">
        <v>4172</v>
      </c>
      <c r="B5206" s="3" t="s">
        <v>4320</v>
      </c>
      <c r="C5206" s="3" t="s">
        <v>5176</v>
      </c>
      <c r="D5206" s="4" t="str">
        <f>HYPERLINK("https://12go.asia/en/travel/karnataka/chengannur", "12Go Link")</f>
        <v>12Go Link</v>
      </c>
      <c r="E5206" s="3" t="s">
        <v>94</v>
      </c>
      <c r="K5206" s="5"/>
    </row>
    <row r="5207">
      <c r="A5207" s="3" t="s">
        <v>4172</v>
      </c>
      <c r="B5207" s="3" t="s">
        <v>4116</v>
      </c>
      <c r="C5207" s="3" t="s">
        <v>5177</v>
      </c>
      <c r="D5207" s="4" t="str">
        <f>HYPERLINK("https://12go.asia/en/travel/karnataka/chhattisgarh", "12Go Link")</f>
        <v>12Go Link</v>
      </c>
      <c r="E5207" s="3" t="s">
        <v>94</v>
      </c>
      <c r="K5207" s="5"/>
    </row>
    <row r="5208">
      <c r="A5208" s="3" t="s">
        <v>4172</v>
      </c>
      <c r="B5208" s="3" t="s">
        <v>3874</v>
      </c>
      <c r="C5208" s="3" t="s">
        <v>5178</v>
      </c>
      <c r="D5208" s="4" t="str">
        <f>HYPERLINK("https://12go.asia/en/travel/karnataka/davanagere", "12Go Link")</f>
        <v>12Go Link</v>
      </c>
      <c r="E5208" s="3" t="s">
        <v>94</v>
      </c>
      <c r="K5208" s="5"/>
    </row>
    <row r="5209">
      <c r="A5209" s="3" t="s">
        <v>4172</v>
      </c>
      <c r="B5209" s="3" t="s">
        <v>5179</v>
      </c>
      <c r="C5209" s="3" t="s">
        <v>5180</v>
      </c>
      <c r="D5209" s="4" t="str">
        <f>HYPERLINK("https://12go.asia/en/travel/karnataka/dharmavaram", "12Go Link")</f>
        <v>12Go Link</v>
      </c>
      <c r="E5209" s="3" t="s">
        <v>94</v>
      </c>
      <c r="K5209" s="5"/>
    </row>
    <row r="5210">
      <c r="A5210" s="3" t="s">
        <v>4172</v>
      </c>
      <c r="B5210" s="3" t="s">
        <v>3878</v>
      </c>
      <c r="C5210" s="3" t="s">
        <v>5181</v>
      </c>
      <c r="D5210" s="4" t="str">
        <f>HYPERLINK("https://12go.asia/en/travel/karnataka/dindigul", "12Go Link")</f>
        <v>12Go Link</v>
      </c>
      <c r="E5210" s="3" t="s">
        <v>94</v>
      </c>
      <c r="K5210" s="5"/>
    </row>
    <row r="5211">
      <c r="A5211" s="3" t="s">
        <v>4172</v>
      </c>
      <c r="B5211" s="3" t="s">
        <v>3887</v>
      </c>
      <c r="C5211" s="3" t="s">
        <v>5182</v>
      </c>
      <c r="D5211" s="4" t="str">
        <f>HYPERLINK("https://12go.asia/en/travel/karnataka/ganagapur-road", "12Go Link")</f>
        <v>12Go Link</v>
      </c>
      <c r="E5211" s="3" t="s">
        <v>94</v>
      </c>
      <c r="K5211" s="5"/>
    </row>
    <row r="5212">
      <c r="A5212" s="3" t="s">
        <v>4172</v>
      </c>
      <c r="B5212" s="3" t="s">
        <v>3892</v>
      </c>
      <c r="C5212" s="3" t="s">
        <v>5183</v>
      </c>
      <c r="D5212" s="4" t="str">
        <f>HYPERLINK("https://12go.asia/en/travel/karnataka/gopalpur-odisha", "12Go Link")</f>
        <v>12Go Link</v>
      </c>
      <c r="E5212" s="3" t="s">
        <v>94</v>
      </c>
      <c r="K5212" s="5"/>
    </row>
    <row r="5213">
      <c r="A5213" s="3" t="s">
        <v>4172</v>
      </c>
      <c r="B5213" s="3" t="s">
        <v>5184</v>
      </c>
      <c r="C5213" s="3" t="s">
        <v>5185</v>
      </c>
      <c r="D5213" s="4" t="str">
        <f>HYPERLINK("https://12go.asia/en/travel/karnataka/honavar", "12Go Link")</f>
        <v>12Go Link</v>
      </c>
      <c r="E5213" s="3" t="s">
        <v>94</v>
      </c>
      <c r="K5213" s="5"/>
    </row>
    <row r="5214">
      <c r="A5214" s="3" t="s">
        <v>4172</v>
      </c>
      <c r="B5214" s="3" t="s">
        <v>4466</v>
      </c>
      <c r="C5214" s="3" t="s">
        <v>5186</v>
      </c>
      <c r="D5214" s="4" t="str">
        <f>HYPERLINK("https://12go.asia/en/travel/karnataka/hubballi-dharwad", "12Go Link")</f>
        <v>12Go Link</v>
      </c>
      <c r="E5214" s="3" t="s">
        <v>94</v>
      </c>
      <c r="K5214" s="5"/>
    </row>
    <row r="5215">
      <c r="A5215" s="3" t="s">
        <v>4172</v>
      </c>
      <c r="B5215" s="3" t="s">
        <v>3896</v>
      </c>
      <c r="C5215" s="3" t="s">
        <v>5187</v>
      </c>
      <c r="D5215" s="4" t="str">
        <f>HYPERLINK("https://12go.asia/en/travel/karnataka/irinjalakuda", "12Go Link")</f>
        <v>12Go Link</v>
      </c>
      <c r="E5215" s="3" t="s">
        <v>94</v>
      </c>
      <c r="K5215" s="5"/>
    </row>
    <row r="5216">
      <c r="A5216" s="3" t="s">
        <v>4172</v>
      </c>
      <c r="B5216" s="3" t="s">
        <v>3898</v>
      </c>
      <c r="C5216" s="3" t="s">
        <v>5188</v>
      </c>
      <c r="D5216" s="4" t="str">
        <f>HYPERLINK("https://12go.asia/en/travel/karnataka/jabalpur", "12Go Link")</f>
        <v>12Go Link</v>
      </c>
      <c r="E5216" s="3" t="s">
        <v>94</v>
      </c>
      <c r="K5216" s="5"/>
    </row>
    <row r="5217">
      <c r="A5217" s="3" t="s">
        <v>4172</v>
      </c>
      <c r="B5217" s="3" t="s">
        <v>4402</v>
      </c>
      <c r="C5217" s="3" t="s">
        <v>5189</v>
      </c>
      <c r="D5217" s="4" t="str">
        <f>HYPERLINK("https://12go.asia/en/travel/karnataka/jamshedpur", "12Go Link")</f>
        <v>12Go Link</v>
      </c>
      <c r="E5217" s="3" t="s">
        <v>94</v>
      </c>
      <c r="K5217" s="5"/>
    </row>
    <row r="5218">
      <c r="A5218" s="3" t="s">
        <v>4172</v>
      </c>
      <c r="B5218" s="3" t="s">
        <v>3900</v>
      </c>
      <c r="C5218" s="3" t="s">
        <v>5190</v>
      </c>
      <c r="D5218" s="4" t="str">
        <f>HYPERLINK("https://12go.asia/en/travel/karnataka/jolarpet", "12Go Link")</f>
        <v>12Go Link</v>
      </c>
      <c r="E5218" s="3" t="s">
        <v>94</v>
      </c>
      <c r="K5218" s="5"/>
    </row>
    <row r="5219">
      <c r="A5219" s="3" t="s">
        <v>4172</v>
      </c>
      <c r="B5219" s="3" t="s">
        <v>3903</v>
      </c>
      <c r="C5219" s="3" t="s">
        <v>5191</v>
      </c>
      <c r="D5219" s="4" t="str">
        <f>HYPERLINK("https://12go.asia/en/travel/karnataka/kakinada", "12Go Link")</f>
        <v>12Go Link</v>
      </c>
      <c r="E5219" s="3" t="s">
        <v>94</v>
      </c>
      <c r="K5219" s="5"/>
    </row>
    <row r="5220">
      <c r="A5220" s="3" t="s">
        <v>4172</v>
      </c>
      <c r="B5220" s="3" t="s">
        <v>157</v>
      </c>
      <c r="C5220" s="3" t="s">
        <v>5192</v>
      </c>
      <c r="D5220" s="4" t="str">
        <f>HYPERLINK("https://12go.asia/en/travel/karnataka/kalaburagi", "12Go Link")</f>
        <v>12Go Link</v>
      </c>
      <c r="E5220" s="3" t="s">
        <v>8</v>
      </c>
      <c r="K5220" s="5"/>
    </row>
    <row r="5221">
      <c r="A5221" s="3" t="s">
        <v>4172</v>
      </c>
      <c r="B5221" s="3" t="s">
        <v>3906</v>
      </c>
      <c r="C5221" s="3" t="s">
        <v>5193</v>
      </c>
      <c r="D5221" s="4" t="str">
        <f>HYPERLINK("https://12go.asia/en/travel/karnataka/karur", "12Go Link")</f>
        <v>12Go Link</v>
      </c>
      <c r="E5221" s="3" t="s">
        <v>94</v>
      </c>
      <c r="K5221" s="5"/>
    </row>
    <row r="5222">
      <c r="A5222" s="3" t="s">
        <v>4172</v>
      </c>
      <c r="B5222" s="3" t="s">
        <v>5194</v>
      </c>
      <c r="C5222" s="3" t="s">
        <v>5195</v>
      </c>
      <c r="D5222" s="4" t="str">
        <f>HYPERLINK("https://12go.asia/en/travel/karnataka/kayamkulam", "12Go Link")</f>
        <v>12Go Link</v>
      </c>
      <c r="E5222" s="3" t="s">
        <v>94</v>
      </c>
      <c r="K5222" s="5"/>
    </row>
    <row r="5223">
      <c r="A5223" s="3" t="s">
        <v>4172</v>
      </c>
      <c r="B5223" s="3" t="s">
        <v>3732</v>
      </c>
      <c r="C5223" s="3" t="s">
        <v>5196</v>
      </c>
      <c r="D5223" s="4" t="str">
        <f>HYPERLINK("https://12go.asia/en/travel/karnataka/kothapatnam", "12Go Link")</f>
        <v>12Go Link</v>
      </c>
      <c r="E5223" s="3" t="s">
        <v>94</v>
      </c>
      <c r="K5223" s="5"/>
    </row>
    <row r="5224">
      <c r="A5224" s="3" t="s">
        <v>4172</v>
      </c>
      <c r="B5224" s="3" t="s">
        <v>5197</v>
      </c>
      <c r="C5224" s="3" t="s">
        <v>5198</v>
      </c>
      <c r="D5224" s="4" t="str">
        <f>HYPERLINK("https://12go.asia/en/travel/karnataka/kumta", "12Go Link")</f>
        <v>12Go Link</v>
      </c>
      <c r="E5224" s="3" t="s">
        <v>94</v>
      </c>
      <c r="K5224" s="5"/>
    </row>
    <row r="5225">
      <c r="A5225" s="3" t="s">
        <v>4172</v>
      </c>
      <c r="B5225" s="3" t="s">
        <v>5199</v>
      </c>
      <c r="C5225" s="3" t="s">
        <v>5200</v>
      </c>
      <c r="D5225" s="4" t="str">
        <f>HYPERLINK("https://12go.asia/en/travel/karnataka/kundapur", "12Go Link")</f>
        <v>12Go Link</v>
      </c>
      <c r="E5225" s="3" t="s">
        <v>94</v>
      </c>
      <c r="K5225" s="5"/>
    </row>
    <row r="5226">
      <c r="A5226" s="3" t="s">
        <v>4172</v>
      </c>
      <c r="B5226" s="3" t="s">
        <v>5201</v>
      </c>
      <c r="C5226" s="3" t="s">
        <v>5202</v>
      </c>
      <c r="D5226" s="4" t="str">
        <f>HYPERLINK("https://12go.asia/en/travel/kengeri/madurai-junction", "12Go Link")</f>
        <v>12Go Link</v>
      </c>
      <c r="E5226" s="3" t="s">
        <v>94</v>
      </c>
      <c r="K5226" s="5"/>
    </row>
    <row r="5227">
      <c r="A5227" s="3" t="s">
        <v>5203</v>
      </c>
      <c r="B5227" s="3" t="s">
        <v>5016</v>
      </c>
      <c r="C5227" s="3" t="s">
        <v>5204</v>
      </c>
      <c r="D5227" s="4" t="str">
        <f>HYPERLINK("https://12go.asia/en/travel/karunagapalli/panvel", "12Go Link")</f>
        <v>12Go Link</v>
      </c>
      <c r="E5227" s="3" t="s">
        <v>94</v>
      </c>
      <c r="K5227" s="5"/>
    </row>
    <row r="5228">
      <c r="A5228" s="3" t="s">
        <v>3906</v>
      </c>
      <c r="B5228" s="3" t="s">
        <v>3847</v>
      </c>
      <c r="C5228" s="3" t="s">
        <v>5205</v>
      </c>
      <c r="D5228" s="4" t="str">
        <f>HYPERLINK("https://12go.asia/en/travel/karur/new-bengaluru-terminal", "12Go Link")</f>
        <v>12Go Link</v>
      </c>
      <c r="E5228" s="3" t="s">
        <v>94</v>
      </c>
      <c r="K5228" s="5"/>
    </row>
    <row r="5229">
      <c r="A5229" s="3" t="s">
        <v>3622</v>
      </c>
      <c r="B5229" s="3" t="s">
        <v>5206</v>
      </c>
      <c r="C5229" s="3" t="s">
        <v>5207</v>
      </c>
      <c r="D5229" s="4" t="str">
        <f>HYPERLINK("https://12go.asia/en/travel/karwar/nala-sopara", "12Go Link")</f>
        <v>12Go Link</v>
      </c>
      <c r="E5229" s="3" t="s">
        <v>94</v>
      </c>
      <c r="K5229" s="5"/>
    </row>
    <row r="5230">
      <c r="A5230" s="3" t="s">
        <v>3622</v>
      </c>
      <c r="B5230" s="3" t="s">
        <v>5206</v>
      </c>
      <c r="C5230" s="3" t="s">
        <v>5208</v>
      </c>
      <c r="D5230" s="4" t="str">
        <f>HYPERLINK("https://12go.asia/en/travel/karwar/vasai-road", "12Go Link")</f>
        <v>12Go Link</v>
      </c>
      <c r="E5230" s="3" t="s">
        <v>94</v>
      </c>
      <c r="K5230" s="5"/>
    </row>
    <row r="5231">
      <c r="A5231" s="3" t="s">
        <v>4174</v>
      </c>
      <c r="B5231" s="3" t="s">
        <v>4684</v>
      </c>
      <c r="C5231" s="3" t="s">
        <v>5209</v>
      </c>
      <c r="D5231" s="4" t="str">
        <f>HYPERLINK("https://12go.asia/en/travel/katihar-junction/malda-town", "12Go Link")</f>
        <v>12Go Link</v>
      </c>
      <c r="E5231" s="3" t="s">
        <v>94</v>
      </c>
      <c r="K5231" s="5"/>
    </row>
    <row r="5232">
      <c r="A5232" s="3" t="s">
        <v>4174</v>
      </c>
      <c r="B5232" s="3" t="s">
        <v>4684</v>
      </c>
      <c r="C5232" s="3" t="s">
        <v>5210</v>
      </c>
      <c r="D5232" s="4" t="str">
        <f>HYPERLINK("https://12go.asia/en/travel/katihar/malda", "12Go Link")</f>
        <v>12Go Link</v>
      </c>
      <c r="E5232" s="3" t="s">
        <v>94</v>
      </c>
      <c r="K5232" s="5"/>
    </row>
    <row r="5233">
      <c r="A5233" s="3" t="s">
        <v>4174</v>
      </c>
      <c r="B5233" s="3" t="s">
        <v>3842</v>
      </c>
      <c r="C5233" s="3" t="s">
        <v>5211</v>
      </c>
      <c r="D5233" s="4" t="str">
        <f>HYPERLINK("https://12go.asia/en/travel/katihar-junction/new-delhi", "12Go Link")</f>
        <v>12Go Link</v>
      </c>
      <c r="E5233" s="3" t="s">
        <v>94</v>
      </c>
      <c r="K5233" s="5"/>
    </row>
    <row r="5234">
      <c r="A5234" s="3" t="s">
        <v>4174</v>
      </c>
      <c r="B5234" s="3" t="s">
        <v>3842</v>
      </c>
      <c r="C5234" s="3" t="s">
        <v>5212</v>
      </c>
      <c r="D5234" s="4" t="str">
        <f>HYPERLINK("https://12go.asia/en/travel/katihar/new-delhi", "12Go Link")</f>
        <v>12Go Link</v>
      </c>
      <c r="E5234" s="3" t="s">
        <v>94</v>
      </c>
      <c r="K5234" s="5"/>
    </row>
    <row r="5235">
      <c r="A5235" s="3" t="s">
        <v>4174</v>
      </c>
      <c r="B5235" s="3" t="s">
        <v>3798</v>
      </c>
      <c r="C5235" s="3" t="s">
        <v>5213</v>
      </c>
      <c r="D5235" s="4" t="str">
        <f>HYPERLINK("https://12go.asia/en/travel/katihar-junction/bagdogra", "12Go Link")</f>
        <v>12Go Link</v>
      </c>
      <c r="E5235" s="3" t="s">
        <v>94</v>
      </c>
      <c r="K5235" s="5"/>
    </row>
    <row r="5236">
      <c r="A5236" s="3" t="s">
        <v>4174</v>
      </c>
      <c r="B5236" s="3" t="s">
        <v>3798</v>
      </c>
      <c r="C5236" s="3" t="s">
        <v>5214</v>
      </c>
      <c r="D5236" s="4" t="str">
        <f>HYPERLINK("https://12go.asia/en/travel/katihar-junction/new-jalpaiguri", "12Go Link")</f>
        <v>12Go Link</v>
      </c>
      <c r="E5236" s="3" t="s">
        <v>94</v>
      </c>
      <c r="K5236" s="5"/>
    </row>
    <row r="5237">
      <c r="A5237" s="3" t="s">
        <v>3728</v>
      </c>
      <c r="B5237" s="3" t="s">
        <v>3919</v>
      </c>
      <c r="C5237" s="3" t="s">
        <v>5215</v>
      </c>
      <c r="D5237" s="4" t="str">
        <f>HYPERLINK("https://12go.asia/en/travel/katpadi-junction/pune-jn", "12Go Link")</f>
        <v>12Go Link</v>
      </c>
      <c r="E5237" s="3" t="s">
        <v>94</v>
      </c>
      <c r="K5237" s="5"/>
    </row>
    <row r="5238">
      <c r="A5238" s="3" t="s">
        <v>3728</v>
      </c>
      <c r="B5238" s="3" t="s">
        <v>3919</v>
      </c>
      <c r="C5238" s="3" t="s">
        <v>5216</v>
      </c>
      <c r="D5238" s="4" t="str">
        <f>HYPERLINK("https://12go.asia/en/travel/katpadi/pune", "12Go Link")</f>
        <v>12Go Link</v>
      </c>
      <c r="E5238" s="3" t="s">
        <v>94</v>
      </c>
      <c r="K5238" s="5"/>
    </row>
    <row r="5239">
      <c r="A5239" s="3" t="s">
        <v>3728</v>
      </c>
      <c r="B5239" s="3" t="s">
        <v>4610</v>
      </c>
      <c r="C5239" s="3" t="s">
        <v>5217</v>
      </c>
      <c r="D5239" s="4" t="str">
        <f>HYPERLINK("https://12go.asia/en/travel/katpadi-junction/vijayawada-jn", "12Go Link")</f>
        <v>12Go Link</v>
      </c>
      <c r="E5239" s="3" t="s">
        <v>94</v>
      </c>
      <c r="K5239" s="5"/>
    </row>
    <row r="5240">
      <c r="A5240" s="3" t="s">
        <v>4094</v>
      </c>
      <c r="B5240" s="3" t="s">
        <v>4049</v>
      </c>
      <c r="C5240" s="3" t="s">
        <v>5218</v>
      </c>
      <c r="D5240" s="4" t="str">
        <f>HYPERLINK("https://12go.asia/en/travel/kendujhar/bhubaneswar", "12Go Link")</f>
        <v>12Go Link</v>
      </c>
      <c r="E5240" s="3" t="s">
        <v>94</v>
      </c>
      <c r="K5240" s="5"/>
    </row>
    <row r="5241">
      <c r="A5241" s="3" t="s">
        <v>4094</v>
      </c>
      <c r="B5241" s="3" t="s">
        <v>4049</v>
      </c>
      <c r="C5241" s="3" t="s">
        <v>5219</v>
      </c>
      <c r="D5241" s="4" t="str">
        <f>HYPERLINK("https://12go.asia/en/travel/kendujhargarh/bhubaneswar", "12Go Link")</f>
        <v>12Go Link</v>
      </c>
      <c r="E5241" s="3" t="s">
        <v>94</v>
      </c>
      <c r="K5241" s="5"/>
    </row>
    <row r="5242">
      <c r="A5242" s="3" t="s">
        <v>3730</v>
      </c>
      <c r="B5242" s="3" t="s">
        <v>3657</v>
      </c>
      <c r="C5242" s="3" t="s">
        <v>5220</v>
      </c>
      <c r="D5242" s="4" t="str">
        <f>HYPERLINK("https://12go.asia/en/travel/kerala/aluva", "12Go Link")</f>
        <v>12Go Link</v>
      </c>
      <c r="E5242" s="3" t="s">
        <v>94</v>
      </c>
      <c r="K5242" s="5"/>
    </row>
    <row r="5243">
      <c r="A5243" s="3" t="s">
        <v>3730</v>
      </c>
      <c r="B5243" s="3" t="s">
        <v>3710</v>
      </c>
      <c r="C5243" s="3" t="s">
        <v>5221</v>
      </c>
      <c r="D5243" s="4" t="str">
        <f>HYPERLINK("https://12go.asia/en/travel/kerala/andhra-pradesh", "12Go Link")</f>
        <v>12Go Link</v>
      </c>
      <c r="E5243" s="3" t="s">
        <v>94</v>
      </c>
      <c r="K5243" s="5"/>
    </row>
    <row r="5244">
      <c r="A5244" s="3" t="s">
        <v>3730</v>
      </c>
      <c r="B5244" s="3" t="s">
        <v>3800</v>
      </c>
      <c r="C5244" s="3" t="s">
        <v>5222</v>
      </c>
      <c r="D5244" s="4" t="str">
        <f>HYPERLINK("https://12go.asia/en/travel/kerala/assam", "12Go Link")</f>
        <v>12Go Link</v>
      </c>
      <c r="E5244" s="3" t="s">
        <v>94</v>
      </c>
      <c r="K5244" s="5"/>
    </row>
    <row r="5245">
      <c r="A5245" s="3" t="s">
        <v>3730</v>
      </c>
      <c r="B5245" s="3" t="s">
        <v>4001</v>
      </c>
      <c r="C5245" s="3" t="s">
        <v>5223</v>
      </c>
      <c r="D5245" s="4" t="str">
        <f>HYPERLINK("https://12go.asia/en/travel/kerala/bihar", "12Go Link")</f>
        <v>12Go Link</v>
      </c>
      <c r="E5245" s="3" t="s">
        <v>94</v>
      </c>
      <c r="K5245" s="5"/>
    </row>
    <row r="5246">
      <c r="A5246" s="3" t="s">
        <v>3730</v>
      </c>
      <c r="B5246" s="3" t="s">
        <v>3878</v>
      </c>
      <c r="C5246" s="3" t="s">
        <v>5224</v>
      </c>
      <c r="D5246" s="4" t="str">
        <f>HYPERLINK("https://12go.asia/en/travel/kerala/dindigul", "12Go Link")</f>
        <v>12Go Link</v>
      </c>
      <c r="E5246" s="3" t="s">
        <v>94</v>
      </c>
      <c r="K5246" s="5"/>
    </row>
    <row r="5247">
      <c r="A5247" s="3" t="s">
        <v>3730</v>
      </c>
      <c r="B5247" s="3" t="s">
        <v>4396</v>
      </c>
      <c r="C5247" s="3" t="s">
        <v>5225</v>
      </c>
      <c r="D5247" s="4" t="str">
        <f>HYPERLINK("https://12go.asia/en/travel/kerala/gwalior", "12Go Link")</f>
        <v>12Go Link</v>
      </c>
      <c r="E5247" s="3" t="s">
        <v>94</v>
      </c>
      <c r="K5247" s="5"/>
    </row>
    <row r="5248">
      <c r="A5248" s="3" t="s">
        <v>3730</v>
      </c>
      <c r="B5248" s="3" t="s">
        <v>5142</v>
      </c>
      <c r="C5248" s="3" t="s">
        <v>5226</v>
      </c>
      <c r="D5248" s="4" t="str">
        <f>HYPERLINK("https://12go.asia/en/travel/kerala/kanhangad", "12Go Link")</f>
        <v>12Go Link</v>
      </c>
      <c r="E5248" s="3" t="s">
        <v>94</v>
      </c>
      <c r="K5248" s="5"/>
    </row>
    <row r="5249">
      <c r="A5249" s="3" t="s">
        <v>3730</v>
      </c>
      <c r="B5249" s="3" t="s">
        <v>4618</v>
      </c>
      <c r="C5249" s="3" t="s">
        <v>5227</v>
      </c>
      <c r="D5249" s="4" t="str">
        <f>HYPERLINK("https://12go.asia/en/travel/kerala/karaikal", "12Go Link")</f>
        <v>12Go Link</v>
      </c>
      <c r="E5249" s="3" t="s">
        <v>94</v>
      </c>
      <c r="K5249" s="5"/>
    </row>
    <row r="5250">
      <c r="A5250" s="3" t="s">
        <v>3730</v>
      </c>
      <c r="B5250" s="3" t="s">
        <v>5203</v>
      </c>
      <c r="C5250" s="3" t="s">
        <v>5228</v>
      </c>
      <c r="D5250" s="4" t="str">
        <f>HYPERLINK("https://12go.asia/en/travel/kerala/karunagapalli", "12Go Link")</f>
        <v>12Go Link</v>
      </c>
      <c r="E5250" s="3" t="s">
        <v>94</v>
      </c>
      <c r="K5250" s="5"/>
    </row>
    <row r="5251">
      <c r="A5251" s="3" t="s">
        <v>3730</v>
      </c>
      <c r="B5251" s="3" t="s">
        <v>4351</v>
      </c>
      <c r="C5251" s="3" t="s">
        <v>5229</v>
      </c>
      <c r="D5251" s="4" t="str">
        <f>HYPERLINK("https://12go.asia/en/travel/kerala/kasaragod", "12Go Link")</f>
        <v>12Go Link</v>
      </c>
      <c r="E5251" s="3" t="s">
        <v>94</v>
      </c>
      <c r="K5251" s="5"/>
    </row>
    <row r="5252">
      <c r="A5252" s="3" t="s">
        <v>3730</v>
      </c>
      <c r="B5252" s="3" t="s">
        <v>4182</v>
      </c>
      <c r="C5252" s="3" t="s">
        <v>5230</v>
      </c>
      <c r="D5252" s="4" t="str">
        <f>HYPERLINK("https://12go.asia/en/travel/harippad/ernakulam-jn", "12Go Link")</f>
        <v>12Go Link</v>
      </c>
      <c r="E5252" s="3" t="s">
        <v>94</v>
      </c>
      <c r="K5252" s="5"/>
    </row>
    <row r="5253">
      <c r="A5253" s="3" t="s">
        <v>3730</v>
      </c>
      <c r="B5253" s="3" t="s">
        <v>4182</v>
      </c>
      <c r="C5253" s="3" t="s">
        <v>5231</v>
      </c>
      <c r="D5253" s="4" t="str">
        <f>HYPERLINK("https://12go.asia/en/travel/kottarakara/ernakulam-town-north", "12Go Link")</f>
        <v>12Go Link</v>
      </c>
      <c r="E5253" s="3" t="s">
        <v>94</v>
      </c>
      <c r="K5253" s="5"/>
    </row>
    <row r="5254">
      <c r="A5254" s="3" t="s">
        <v>3730</v>
      </c>
      <c r="B5254" s="3" t="s">
        <v>5197</v>
      </c>
      <c r="C5254" s="3" t="s">
        <v>5232</v>
      </c>
      <c r="D5254" s="4" t="str">
        <f>HYPERLINK("https://12go.asia/en/travel/kerala/kumta", "12Go Link")</f>
        <v>12Go Link</v>
      </c>
      <c r="E5254" s="3" t="s">
        <v>94</v>
      </c>
      <c r="K5254" s="5"/>
    </row>
    <row r="5255">
      <c r="A5255" s="3" t="s">
        <v>3730</v>
      </c>
      <c r="B5255" s="3" t="s">
        <v>5233</v>
      </c>
      <c r="C5255" s="3" t="s">
        <v>5234</v>
      </c>
      <c r="D5255" s="4" t="str">
        <f>HYPERLINK("https://12go.asia/en/travel/kerala/kuttippuram", "12Go Link")</f>
        <v>12Go Link</v>
      </c>
      <c r="E5255" s="3" t="s">
        <v>94</v>
      </c>
      <c r="K5255" s="5"/>
    </row>
    <row r="5256">
      <c r="A5256" s="3" t="s">
        <v>3730</v>
      </c>
      <c r="B5256" s="3" t="s">
        <v>4578</v>
      </c>
      <c r="C5256" s="3" t="s">
        <v>5235</v>
      </c>
      <c r="D5256" s="4" t="str">
        <f>HYPERLINK("https://12go.asia/en/travel/kerala/ludhiana", "12Go Link")</f>
        <v>12Go Link</v>
      </c>
      <c r="E5256" s="3" t="s">
        <v>94</v>
      </c>
      <c r="K5256" s="5"/>
    </row>
    <row r="5257">
      <c r="A5257" s="3" t="s">
        <v>3730</v>
      </c>
      <c r="B5257" s="3" t="s">
        <v>165</v>
      </c>
      <c r="C5257" s="3" t="s">
        <v>5236</v>
      </c>
      <c r="D5257" s="4" t="str">
        <f>HYPERLINK("https://12go.asia/en/travel/kerala/margao", "12Go Link")</f>
        <v>12Go Link</v>
      </c>
      <c r="E5257" s="3" t="s">
        <v>94</v>
      </c>
      <c r="K5257" s="5"/>
    </row>
    <row r="5258">
      <c r="A5258" s="3" t="s">
        <v>3730</v>
      </c>
      <c r="B5258" s="3" t="s">
        <v>4187</v>
      </c>
      <c r="C5258" s="3" t="s">
        <v>5237</v>
      </c>
      <c r="D5258" s="4" t="str">
        <f>HYPERLINK("https://12go.asia/en/travel/kerala/nagpur", "12Go Link")</f>
        <v>12Go Link</v>
      </c>
      <c r="E5258" s="3" t="s">
        <v>94</v>
      </c>
      <c r="K5258" s="5"/>
    </row>
    <row r="5259">
      <c r="A5259" s="3" t="s">
        <v>3730</v>
      </c>
      <c r="B5259" s="3" t="s">
        <v>4407</v>
      </c>
      <c r="C5259" s="3" t="s">
        <v>5238</v>
      </c>
      <c r="D5259" s="4" t="str">
        <f>HYPERLINK("https://12go.asia/en/travel/kerala/nashik", "12Go Link")</f>
        <v>12Go Link</v>
      </c>
      <c r="E5259" s="3" t="s">
        <v>94</v>
      </c>
      <c r="K5259" s="5"/>
    </row>
    <row r="5260">
      <c r="A5260" s="3" t="s">
        <v>3730</v>
      </c>
      <c r="B5260" s="3" t="s">
        <v>3970</v>
      </c>
      <c r="C5260" s="3" t="s">
        <v>5239</v>
      </c>
      <c r="D5260" s="4" t="str">
        <f>HYPERLINK("https://12go.asia/en/travel/kerala/navi-mumbai", "12Go Link")</f>
        <v>12Go Link</v>
      </c>
      <c r="E5260" s="3" t="s">
        <v>94</v>
      </c>
      <c r="K5260" s="5"/>
    </row>
    <row r="5261">
      <c r="A5261" s="3" t="s">
        <v>3730</v>
      </c>
      <c r="B5261" s="3" t="s">
        <v>5240</v>
      </c>
      <c r="C5261" s="3" t="s">
        <v>5241</v>
      </c>
      <c r="D5261" s="4" t="str">
        <f>HYPERLINK("https://12go.asia/en/travel/kerala/nileshwar", "12Go Link")</f>
        <v>12Go Link</v>
      </c>
      <c r="E5261" s="3" t="s">
        <v>94</v>
      </c>
      <c r="K5261" s="5"/>
    </row>
    <row r="5262">
      <c r="A5262" s="3" t="s">
        <v>3730</v>
      </c>
      <c r="B5262" s="3" t="s">
        <v>4441</v>
      </c>
      <c r="C5262" s="3" t="s">
        <v>5242</v>
      </c>
      <c r="D5262" s="4" t="str">
        <f>HYPERLINK("https://12go.asia/en/travel/kerala/north-goa", "12Go Link")</f>
        <v>12Go Link</v>
      </c>
      <c r="E5262" s="3" t="s">
        <v>94</v>
      </c>
      <c r="K5262" s="5"/>
    </row>
    <row r="5263">
      <c r="A5263" s="3" t="s">
        <v>3730</v>
      </c>
      <c r="B5263" s="3" t="s">
        <v>5243</v>
      </c>
      <c r="C5263" s="3" t="s">
        <v>5244</v>
      </c>
      <c r="D5263" s="4" t="str">
        <f>HYPERLINK("https://12go.asia/en/travel/kerala/old-goa", "12Go Link")</f>
        <v>12Go Link</v>
      </c>
      <c r="E5263" s="3" t="s">
        <v>94</v>
      </c>
      <c r="K5263" s="5"/>
    </row>
    <row r="5264">
      <c r="A5264" s="3" t="s">
        <v>3730</v>
      </c>
      <c r="B5264" s="3" t="s">
        <v>3917</v>
      </c>
      <c r="C5264" s="3" t="s">
        <v>5245</v>
      </c>
      <c r="D5264" s="4" t="str">
        <f>HYPERLINK("https://12go.asia/en/travel/kerala/patna", "12Go Link")</f>
        <v>12Go Link</v>
      </c>
      <c r="E5264" s="3" t="s">
        <v>94</v>
      </c>
      <c r="K5264" s="5"/>
    </row>
    <row r="5265">
      <c r="A5265" s="3" t="s">
        <v>3730</v>
      </c>
      <c r="B5265" s="3" t="s">
        <v>5246</v>
      </c>
      <c r="C5265" s="3" t="s">
        <v>5247</v>
      </c>
      <c r="D5265" s="4" t="str">
        <f>HYPERLINK("https://12go.asia/en/travel/kerala/punalur", "12Go Link")</f>
        <v>12Go Link</v>
      </c>
      <c r="E5265" s="3" t="s">
        <v>94</v>
      </c>
      <c r="K5265" s="5"/>
    </row>
    <row r="5266">
      <c r="A5266" s="3" t="s">
        <v>3730</v>
      </c>
      <c r="B5266" s="3" t="s">
        <v>3773</v>
      </c>
      <c r="C5266" s="3" t="s">
        <v>5248</v>
      </c>
      <c r="D5266" s="4" t="str">
        <f>HYPERLINK("https://12go.asia/en/travel/kerala/tambaram", "12Go Link")</f>
        <v>12Go Link</v>
      </c>
      <c r="E5266" s="3" t="s">
        <v>94</v>
      </c>
      <c r="K5266" s="5"/>
    </row>
    <row r="5267">
      <c r="A5267" s="3" t="s">
        <v>3730</v>
      </c>
      <c r="B5267" s="3" t="s">
        <v>4317</v>
      </c>
      <c r="C5267" s="3" t="s">
        <v>5249</v>
      </c>
      <c r="D5267" s="4" t="str">
        <f>HYPERLINK("https://12go.asia/en/travel/kerala/tenkasi", "12Go Link")</f>
        <v>12Go Link</v>
      </c>
      <c r="E5267" s="3" t="s">
        <v>94</v>
      </c>
      <c r="K5267" s="5"/>
    </row>
    <row r="5268">
      <c r="A5268" s="3" t="s">
        <v>3730</v>
      </c>
      <c r="B5268" s="3" t="s">
        <v>5250</v>
      </c>
      <c r="C5268" s="3" t="s">
        <v>5251</v>
      </c>
      <c r="D5268" s="4" t="str">
        <f>HYPERLINK("https://12go.asia/en/travel/kerala/thanjavur", "12Go Link")</f>
        <v>12Go Link</v>
      </c>
      <c r="E5268" s="3" t="s">
        <v>94</v>
      </c>
      <c r="K5268" s="5"/>
    </row>
    <row r="5269">
      <c r="A5269" s="3" t="s">
        <v>3730</v>
      </c>
      <c r="B5269" s="3" t="s">
        <v>5252</v>
      </c>
      <c r="C5269" s="3" t="s">
        <v>5253</v>
      </c>
      <c r="D5269" s="4" t="str">
        <f>HYPERLINK("https://12go.asia/en/travel/kerala/tirur", "12Go Link")</f>
        <v>12Go Link</v>
      </c>
      <c r="E5269" s="3" t="s">
        <v>94</v>
      </c>
      <c r="K5269" s="5"/>
    </row>
    <row r="5270">
      <c r="A5270" s="3" t="s">
        <v>3730</v>
      </c>
      <c r="B5270" s="3" t="s">
        <v>5254</v>
      </c>
      <c r="C5270" s="3" t="s">
        <v>5255</v>
      </c>
      <c r="D5270" s="4" t="str">
        <f>HYPERLINK("https://12go.asia/en/travel/sasthankotta/varkala", "12Go Link")</f>
        <v>12Go Link</v>
      </c>
      <c r="E5270" s="3" t="s">
        <v>94</v>
      </c>
      <c r="K5270" s="5"/>
    </row>
    <row r="5271">
      <c r="A5271" s="3" t="s">
        <v>3730</v>
      </c>
      <c r="B5271" s="3" t="s">
        <v>5256</v>
      </c>
      <c r="C5271" s="3" t="s">
        <v>5257</v>
      </c>
      <c r="D5271" s="4" t="str">
        <f>HYPERLINK("https://12go.asia/en/travel/kerala/vatakara", "12Go Link")</f>
        <v>12Go Link</v>
      </c>
      <c r="E5271" s="3" t="s">
        <v>94</v>
      </c>
      <c r="K5271" s="5"/>
    </row>
    <row r="5272">
      <c r="A5272" s="3" t="s">
        <v>3730</v>
      </c>
      <c r="B5272" s="3" t="s">
        <v>4270</v>
      </c>
      <c r="C5272" s="3" t="s">
        <v>5258</v>
      </c>
      <c r="D5272" s="4" t="str">
        <f>HYPERLINK("https://12go.asia/en/travel/kerala/velankanni", "12Go Link")</f>
        <v>12Go Link</v>
      </c>
      <c r="E5272" s="3" t="s">
        <v>94</v>
      </c>
      <c r="K5272" s="5"/>
    </row>
    <row r="5273">
      <c r="A5273" s="3" t="s">
        <v>3730</v>
      </c>
      <c r="B5273" s="3" t="s">
        <v>4610</v>
      </c>
      <c r="C5273" s="3" t="s">
        <v>5259</v>
      </c>
      <c r="D5273" s="4" t="str">
        <f>HYPERLINK("https://12go.asia/en/travel/kerala/vijayawada", "12Go Link")</f>
        <v>12Go Link</v>
      </c>
      <c r="E5273" s="3" t="s">
        <v>94</v>
      </c>
      <c r="K5273" s="5"/>
    </row>
    <row r="5274">
      <c r="A5274" s="3" t="s">
        <v>3730</v>
      </c>
      <c r="B5274" s="3" t="s">
        <v>4030</v>
      </c>
      <c r="C5274" s="3" t="s">
        <v>5260</v>
      </c>
      <c r="D5274" s="4" t="str">
        <f>HYPERLINK("https://12go.asia/en/travel/kerala/visakhapatnam", "12Go Link")</f>
        <v>12Go Link</v>
      </c>
      <c r="E5274" s="3" t="s">
        <v>94</v>
      </c>
      <c r="K5274" s="5"/>
    </row>
    <row r="5275">
      <c r="A5275" s="3" t="s">
        <v>3730</v>
      </c>
      <c r="B5275" s="3" t="s">
        <v>3708</v>
      </c>
      <c r="C5275" s="3" t="s">
        <v>5261</v>
      </c>
      <c r="D5275" s="4" t="str">
        <f>HYPERLINK("https://12go.asia/en/travel/kerala/west-bengal", "12Go Link")</f>
        <v>12Go Link</v>
      </c>
      <c r="E5275" s="3" t="s">
        <v>94</v>
      </c>
      <c r="K5275" s="5"/>
    </row>
    <row r="5276">
      <c r="A5276" s="3" t="s">
        <v>5262</v>
      </c>
      <c r="B5276" s="3" t="s">
        <v>3647</v>
      </c>
      <c r="C5276" s="3" t="s">
        <v>5263</v>
      </c>
      <c r="D5276" s="4" t="str">
        <f>HYPERLINK("https://12go.asia/en/travel/kesinga/delhi", "12Go Link")</f>
        <v>12Go Link</v>
      </c>
      <c r="E5276" s="3" t="s">
        <v>94</v>
      </c>
      <c r="K5276" s="5"/>
    </row>
    <row r="5277">
      <c r="A5277" s="3" t="s">
        <v>5262</v>
      </c>
      <c r="B5277" s="3" t="s">
        <v>3647</v>
      </c>
      <c r="C5277" s="3" t="s">
        <v>5264</v>
      </c>
      <c r="D5277" s="4" t="str">
        <f>HYPERLINK("https://12go.asia/en/travel/kesinga/hazrat-nizamuddin", "12Go Link")</f>
        <v>12Go Link</v>
      </c>
      <c r="E5277" s="3" t="s">
        <v>94</v>
      </c>
      <c r="K5277" s="5"/>
    </row>
    <row r="5278">
      <c r="A5278" s="3" t="s">
        <v>5262</v>
      </c>
      <c r="B5278" s="3" t="s">
        <v>3842</v>
      </c>
      <c r="C5278" s="3" t="s">
        <v>5265</v>
      </c>
      <c r="D5278" s="4" t="str">
        <f>HYPERLINK("https://12go.asia/en/travel/kesinga/new-delhi", "12Go Link")</f>
        <v>12Go Link</v>
      </c>
      <c r="E5278" s="3" t="s">
        <v>94</v>
      </c>
      <c r="K5278" s="5"/>
    </row>
    <row r="5279">
      <c r="A5279" s="3" t="s">
        <v>4020</v>
      </c>
      <c r="B5279" s="3" t="s">
        <v>155</v>
      </c>
      <c r="C5279" s="3" t="s">
        <v>5266</v>
      </c>
      <c r="D5279" s="4" t="str">
        <f>HYPERLINK("https://12go.asia/en/travel/kevadia/gujarat", "12Go Link")</f>
        <v>12Go Link</v>
      </c>
      <c r="E5279" s="3" t="s">
        <v>94</v>
      </c>
      <c r="K5279" s="5"/>
    </row>
    <row r="5280">
      <c r="A5280" s="3" t="s">
        <v>4020</v>
      </c>
      <c r="B5280" s="3" t="s">
        <v>163</v>
      </c>
      <c r="C5280" s="3" t="s">
        <v>5267</v>
      </c>
      <c r="D5280" s="4" t="str">
        <f>HYPERLINK("https://12go.asia/en/travel/kevadia/maharashtra", "12Go Link")</f>
        <v>12Go Link</v>
      </c>
      <c r="E5280" s="3" t="s">
        <v>94</v>
      </c>
      <c r="K5280" s="5"/>
    </row>
    <row r="5281">
      <c r="A5281" s="3" t="s">
        <v>4020</v>
      </c>
      <c r="B5281" s="3" t="s">
        <v>3690</v>
      </c>
      <c r="C5281" s="3" t="s">
        <v>5268</v>
      </c>
      <c r="D5281" s="4" t="str">
        <f>HYPERLINK("https://12go.asia/en/travel/ekta-nagar/mumbai-dadar", "12Go Link")</f>
        <v>12Go Link</v>
      </c>
      <c r="E5281" s="3" t="s">
        <v>94</v>
      </c>
      <c r="K5281" s="5"/>
    </row>
    <row r="5282">
      <c r="A5282" s="3" t="s">
        <v>4020</v>
      </c>
      <c r="B5282" s="3" t="s">
        <v>3690</v>
      </c>
      <c r="C5282" s="3" t="s">
        <v>5269</v>
      </c>
      <c r="D5282" s="4" t="str">
        <f>HYPERLINK("https://12go.asia/en/travel/kevadia/mumbai", "12Go Link")</f>
        <v>12Go Link</v>
      </c>
      <c r="E5282" s="3" t="s">
        <v>94</v>
      </c>
      <c r="K5282" s="5"/>
    </row>
    <row r="5283">
      <c r="A5283" s="3" t="s">
        <v>5270</v>
      </c>
      <c r="B5283" s="3" t="s">
        <v>3919</v>
      </c>
      <c r="C5283" s="3" t="s">
        <v>5271</v>
      </c>
      <c r="D5283" s="4" t="str">
        <f>HYPERLINK("https://12go.asia/en/travel/khadki/pune-jn", "12Go Link")</f>
        <v>12Go Link</v>
      </c>
      <c r="E5283" s="3" t="s">
        <v>94</v>
      </c>
      <c r="K5283" s="5"/>
    </row>
    <row r="5284">
      <c r="A5284" s="3" t="s">
        <v>5270</v>
      </c>
      <c r="B5284" s="3" t="s">
        <v>3919</v>
      </c>
      <c r="C5284" s="3" t="s">
        <v>5272</v>
      </c>
      <c r="D5284" s="4" t="str">
        <f>HYPERLINK("https://12go.asia/en/travel/khadki/pune", "12Go Link")</f>
        <v>12Go Link</v>
      </c>
      <c r="E5284" s="3" t="s">
        <v>94</v>
      </c>
      <c r="K5284" s="5"/>
    </row>
    <row r="5285">
      <c r="A5285" s="3" t="s">
        <v>4257</v>
      </c>
      <c r="B5285" s="3" t="s">
        <v>4113</v>
      </c>
      <c r="C5285" s="3" t="s">
        <v>5273</v>
      </c>
      <c r="D5285" s="4" t="str">
        <f>HYPERLINK("https://12go.asia/en/travel/khaira/borivali", "12Go Link")</f>
        <v>12Go Link</v>
      </c>
      <c r="E5285" s="3" t="s">
        <v>94</v>
      </c>
      <c r="K5285" s="5"/>
    </row>
    <row r="5286">
      <c r="A5286" s="3" t="s">
        <v>4257</v>
      </c>
      <c r="B5286" s="3" t="s">
        <v>180</v>
      </c>
      <c r="C5286" s="3" t="s">
        <v>5274</v>
      </c>
      <c r="D5286" s="4" t="str">
        <f>HYPERLINK("https://12go.asia/en/travel/khaira/surat", "12Go Link")</f>
        <v>12Go Link</v>
      </c>
      <c r="E5286" s="3" t="s">
        <v>94</v>
      </c>
      <c r="K5286" s="5"/>
    </row>
    <row r="5287">
      <c r="A5287" s="3" t="s">
        <v>4429</v>
      </c>
      <c r="B5287" s="3" t="s">
        <v>167</v>
      </c>
      <c r="C5287" s="3" t="s">
        <v>5275</v>
      </c>
      <c r="D5287" s="4" t="str">
        <f>HYPERLINK("https://12go.asia/en/travel/khajuraho/mathura", "12Go Link")</f>
        <v>12Go Link</v>
      </c>
      <c r="E5287" s="3" t="s">
        <v>94</v>
      </c>
      <c r="K5287" s="5"/>
    </row>
    <row r="5288">
      <c r="A5288" s="3" t="s">
        <v>4429</v>
      </c>
      <c r="B5288" s="3" t="s">
        <v>167</v>
      </c>
      <c r="C5288" s="3" t="s">
        <v>5276</v>
      </c>
      <c r="D5288" s="4" t="str">
        <f>HYPERLINK("https://12go.asia/en/travel/khajuraho/mathura-jn", "12Go Link")</f>
        <v>12Go Link</v>
      </c>
      <c r="E5288" s="3" t="s">
        <v>94</v>
      </c>
      <c r="K5288" s="5"/>
    </row>
    <row r="5289">
      <c r="A5289" s="3" t="s">
        <v>4429</v>
      </c>
      <c r="B5289" s="3" t="s">
        <v>3752</v>
      </c>
      <c r="C5289" s="3" t="s">
        <v>5277</v>
      </c>
      <c r="D5289" s="4" t="str">
        <f>HYPERLINK("https://12go.asia/en/travel/khajuraho/prayagraj", "12Go Link")</f>
        <v>12Go Link</v>
      </c>
      <c r="E5289" s="3" t="s">
        <v>94</v>
      </c>
      <c r="K5289" s="5"/>
    </row>
    <row r="5290">
      <c r="A5290" s="3" t="s">
        <v>4429</v>
      </c>
      <c r="B5290" s="3" t="s">
        <v>4086</v>
      </c>
      <c r="C5290" s="3" t="s">
        <v>5278</v>
      </c>
      <c r="D5290" s="4" t="str">
        <f>HYPERLINK("https://12go.asia/en/travel/khajuraho/vidisha", "12Go Link")</f>
        <v>12Go Link</v>
      </c>
      <c r="E5290" s="3" t="s">
        <v>94</v>
      </c>
      <c r="K5290" s="5"/>
    </row>
    <row r="5291">
      <c r="A5291" s="3" t="s">
        <v>5279</v>
      </c>
      <c r="B5291" s="3" t="s">
        <v>3933</v>
      </c>
      <c r="C5291" s="3" t="s">
        <v>5280</v>
      </c>
      <c r="D5291" s="4" t="str">
        <f>HYPERLINK("https://12go.asia/en/travel/khalilabad/barabanki", "12Go Link")</f>
        <v>12Go Link</v>
      </c>
      <c r="E5291" s="3" t="s">
        <v>94</v>
      </c>
      <c r="K5291" s="5"/>
    </row>
    <row r="5292">
      <c r="A5292" s="3" t="s">
        <v>5279</v>
      </c>
      <c r="B5292" s="3" t="s">
        <v>3933</v>
      </c>
      <c r="C5292" s="3" t="s">
        <v>5281</v>
      </c>
      <c r="D5292" s="4" t="str">
        <f>HYPERLINK("https://12go.asia/en/travel/khalilabad/barabanki-junction", "12Go Link")</f>
        <v>12Go Link</v>
      </c>
      <c r="E5292" s="3" t="s">
        <v>94</v>
      </c>
      <c r="K5292" s="5"/>
    </row>
    <row r="5293">
      <c r="A5293" s="3" t="s">
        <v>4959</v>
      </c>
      <c r="B5293" s="3" t="s">
        <v>3710</v>
      </c>
      <c r="C5293" s="3" t="s">
        <v>5282</v>
      </c>
      <c r="D5293" s="4" t="str">
        <f>HYPERLINK("https://12go.asia/en/travel/khammam/andhra-pradesh", "12Go Link")</f>
        <v>12Go Link</v>
      </c>
      <c r="E5293" s="3" t="s">
        <v>94</v>
      </c>
      <c r="K5293" s="5"/>
    </row>
    <row r="5294">
      <c r="A5294" s="3" t="s">
        <v>4959</v>
      </c>
      <c r="B5294" s="3" t="s">
        <v>3723</v>
      </c>
      <c r="C5294" s="3" t="s">
        <v>5283</v>
      </c>
      <c r="D5294" s="4" t="str">
        <f>HYPERLINK("https://12go.asia/en/travel/khammam/guntur", "12Go Link")</f>
        <v>12Go Link</v>
      </c>
      <c r="E5294" s="3" t="s">
        <v>94</v>
      </c>
      <c r="K5294" s="5"/>
    </row>
    <row r="5295">
      <c r="A5295" s="3" t="s">
        <v>4959</v>
      </c>
      <c r="B5295" s="3" t="s">
        <v>3723</v>
      </c>
      <c r="C5295" s="3" t="s">
        <v>5284</v>
      </c>
      <c r="D5295" s="4" t="str">
        <f>HYPERLINK("https://12go.asia/en/travel/khammam/guntur-junction", "12Go Link")</f>
        <v>12Go Link</v>
      </c>
      <c r="E5295" s="3" t="s">
        <v>94</v>
      </c>
      <c r="K5295" s="5"/>
    </row>
    <row r="5296">
      <c r="A5296" s="3" t="s">
        <v>4959</v>
      </c>
      <c r="B5296" s="3" t="s">
        <v>3678</v>
      </c>
      <c r="C5296" s="3" t="s">
        <v>5285</v>
      </c>
      <c r="D5296" s="4" t="str">
        <f>HYPERLINK("https://12go.asia/en/travel/khammam/lingampalli", "12Go Link")</f>
        <v>12Go Link</v>
      </c>
      <c r="E5296" s="3" t="s">
        <v>94</v>
      </c>
      <c r="K5296" s="5"/>
    </row>
    <row r="5297">
      <c r="A5297" s="3" t="s">
        <v>4959</v>
      </c>
      <c r="B5297" s="3" t="s">
        <v>3769</v>
      </c>
      <c r="C5297" s="3" t="s">
        <v>5286</v>
      </c>
      <c r="D5297" s="4" t="str">
        <f>HYPERLINK("https://12go.asia/en/travel/khammam/srirangam", "12Go Link")</f>
        <v>12Go Link</v>
      </c>
      <c r="E5297" s="3" t="s">
        <v>94</v>
      </c>
      <c r="K5297" s="5"/>
    </row>
    <row r="5298">
      <c r="A5298" s="3" t="s">
        <v>4959</v>
      </c>
      <c r="B5298" s="3" t="s">
        <v>3694</v>
      </c>
      <c r="C5298" s="3" t="s">
        <v>5287</v>
      </c>
      <c r="D5298" s="4" t="str">
        <f>HYPERLINK("https://12go.asia/en/travel/khammam/tiruchchirappalli-junction", "12Go Link")</f>
        <v>12Go Link</v>
      </c>
      <c r="E5298" s="3" t="s">
        <v>94</v>
      </c>
      <c r="K5298" s="5"/>
    </row>
    <row r="5299">
      <c r="A5299" s="3" t="s">
        <v>4959</v>
      </c>
      <c r="B5299" s="3" t="s">
        <v>3694</v>
      </c>
      <c r="C5299" s="3" t="s">
        <v>5288</v>
      </c>
      <c r="D5299" s="4" t="str">
        <f>HYPERLINK("https://12go.asia/en/travel/khammam/tiruchirappalli", "12Go Link")</f>
        <v>12Go Link</v>
      </c>
      <c r="E5299" s="3" t="s">
        <v>94</v>
      </c>
      <c r="K5299" s="5"/>
    </row>
    <row r="5300">
      <c r="A5300" s="3" t="s">
        <v>4959</v>
      </c>
      <c r="B5300" s="3" t="s">
        <v>3782</v>
      </c>
      <c r="C5300" s="3" t="s">
        <v>5289</v>
      </c>
      <c r="D5300" s="4" t="str">
        <f>HYPERLINK("https://12go.asia/en/travel/khammam/warangal", "12Go Link")</f>
        <v>12Go Link</v>
      </c>
      <c r="E5300" s="3" t="s">
        <v>94</v>
      </c>
      <c r="K5300" s="5"/>
    </row>
    <row r="5301">
      <c r="A5301" s="3" t="s">
        <v>4864</v>
      </c>
      <c r="B5301" s="3" t="s">
        <v>3847</v>
      </c>
      <c r="C5301" s="3" t="s">
        <v>5290</v>
      </c>
      <c r="D5301" s="4" t="str">
        <f>HYPERLINK("https://12go.asia/en/travel/khandwa/bangalore", "12Go Link")</f>
        <v>12Go Link</v>
      </c>
      <c r="E5301" s="3" t="s">
        <v>94</v>
      </c>
      <c r="K5301" s="5"/>
    </row>
    <row r="5302">
      <c r="A5302" s="3" t="s">
        <v>4864</v>
      </c>
      <c r="B5302" s="3" t="s">
        <v>3847</v>
      </c>
      <c r="C5302" s="3" t="s">
        <v>5291</v>
      </c>
      <c r="D5302" s="4" t="str">
        <f>HYPERLINK("https://12go.asia/en/travel/khandwa/ksr-bangalore", "12Go Link")</f>
        <v>12Go Link</v>
      </c>
      <c r="E5302" s="3" t="s">
        <v>94</v>
      </c>
      <c r="K5302" s="5"/>
    </row>
    <row r="5303">
      <c r="A5303" s="3" t="s">
        <v>4864</v>
      </c>
      <c r="B5303" s="3" t="s">
        <v>4037</v>
      </c>
      <c r="C5303" s="3" t="s">
        <v>5292</v>
      </c>
      <c r="D5303" s="4" t="str">
        <f>HYPERLINK("https://12go.asia/en/travel/khandwa/rani-kamalapati", "12Go Link")</f>
        <v>12Go Link</v>
      </c>
      <c r="E5303" s="3" t="s">
        <v>94</v>
      </c>
      <c r="K5303" s="5"/>
    </row>
    <row r="5304">
      <c r="A5304" s="3" t="s">
        <v>4864</v>
      </c>
      <c r="B5304" s="3" t="s">
        <v>3726</v>
      </c>
      <c r="C5304" s="3" t="s">
        <v>5293</v>
      </c>
      <c r="D5304" s="4" t="str">
        <f>HYPERLINK("https://12go.asia/en/travel/khandwa/habibganj", "12Go Link")</f>
        <v>12Go Link</v>
      </c>
      <c r="E5304" s="3" t="s">
        <v>94</v>
      </c>
      <c r="K5304" s="5"/>
    </row>
    <row r="5305">
      <c r="A5305" s="3" t="s">
        <v>4864</v>
      </c>
      <c r="B5305" s="3" t="s">
        <v>3638</v>
      </c>
      <c r="C5305" s="3" t="s">
        <v>5294</v>
      </c>
      <c r="D5305" s="4" t="str">
        <f>HYPERLINK("https://12go.asia/en/travel/khandwa/hyderabad-decan", "12Go Link")</f>
        <v>12Go Link</v>
      </c>
      <c r="E5305" s="3" t="s">
        <v>94</v>
      </c>
      <c r="K5305" s="5"/>
    </row>
    <row r="5306">
      <c r="A5306" s="3" t="s">
        <v>4864</v>
      </c>
      <c r="B5306" s="3" t="s">
        <v>3638</v>
      </c>
      <c r="C5306" s="3" t="s">
        <v>5295</v>
      </c>
      <c r="D5306" s="4" t="str">
        <f>HYPERLINK("https://12go.asia/en/travel/khandwa/hyderabad", "12Go Link")</f>
        <v>12Go Link</v>
      </c>
      <c r="E5306" s="3" t="s">
        <v>94</v>
      </c>
      <c r="K5306" s="5"/>
    </row>
    <row r="5307">
      <c r="A5307" s="3" t="s">
        <v>4864</v>
      </c>
      <c r="B5307" s="3" t="s">
        <v>3611</v>
      </c>
      <c r="C5307" s="3" t="s">
        <v>5296</v>
      </c>
      <c r="D5307" s="4" t="str">
        <f>HYPERLINK("https://12go.asia/en/travel/khandwa/jalgaon", "12Go Link")</f>
        <v>12Go Link</v>
      </c>
      <c r="E5307" s="3" t="s">
        <v>94</v>
      </c>
      <c r="K5307" s="5"/>
    </row>
    <row r="5308">
      <c r="A5308" s="3" t="s">
        <v>4864</v>
      </c>
      <c r="B5308" s="3" t="s">
        <v>3611</v>
      </c>
      <c r="C5308" s="3" t="s">
        <v>5297</v>
      </c>
      <c r="D5308" s="4" t="str">
        <f>HYPERLINK("https://12go.asia/en/travel/khandwa/jalgaon-jn", "12Go Link")</f>
        <v>12Go Link</v>
      </c>
      <c r="E5308" s="3" t="s">
        <v>94</v>
      </c>
      <c r="K5308" s="5"/>
    </row>
    <row r="5309">
      <c r="A5309" s="3" t="s">
        <v>4864</v>
      </c>
      <c r="B5309" s="3" t="s">
        <v>3682</v>
      </c>
      <c r="C5309" s="3" t="s">
        <v>5298</v>
      </c>
      <c r="D5309" s="4" t="str">
        <f>HYPERLINK("https://12go.asia/en/travel/khandwa/kalyan", "12Go Link")</f>
        <v>12Go Link</v>
      </c>
      <c r="E5309" s="3" t="s">
        <v>94</v>
      </c>
      <c r="K5309" s="5"/>
    </row>
    <row r="5310">
      <c r="A5310" s="3" t="s">
        <v>4864</v>
      </c>
      <c r="B5310" s="3" t="s">
        <v>3682</v>
      </c>
      <c r="C5310" s="3" t="s">
        <v>5299</v>
      </c>
      <c r="D5310" s="4" t="str">
        <f>HYPERLINK("https://12go.asia/en/travel/khandwa/kalyan-jn", "12Go Link")</f>
        <v>12Go Link</v>
      </c>
      <c r="E5310" s="3" t="s">
        <v>94</v>
      </c>
      <c r="K5310" s="5"/>
    </row>
    <row r="5311">
      <c r="A5311" s="3" t="s">
        <v>4864</v>
      </c>
      <c r="B5311" s="3" t="s">
        <v>4172</v>
      </c>
      <c r="C5311" s="3" t="s">
        <v>5300</v>
      </c>
      <c r="D5311" s="4" t="str">
        <f>HYPERLINK("https://12go.asia/en/travel/khandwa/karnataka", "12Go Link")</f>
        <v>12Go Link</v>
      </c>
      <c r="E5311" s="3" t="s">
        <v>94</v>
      </c>
      <c r="K5311" s="5"/>
    </row>
    <row r="5312">
      <c r="A5312" s="3" t="s">
        <v>4864</v>
      </c>
      <c r="B5312" s="3" t="s">
        <v>4040</v>
      </c>
      <c r="C5312" s="3" t="s">
        <v>5301</v>
      </c>
      <c r="D5312" s="4" t="str">
        <f>HYPERLINK("https://12go.asia/en/travel/khandwa/madhya-pradesh", "12Go Link")</f>
        <v>12Go Link</v>
      </c>
      <c r="E5312" s="3" t="s">
        <v>94</v>
      </c>
      <c r="K5312" s="5"/>
    </row>
    <row r="5313">
      <c r="A5313" s="3" t="s">
        <v>4864</v>
      </c>
      <c r="B5313" s="3" t="s">
        <v>3690</v>
      </c>
      <c r="C5313" s="3" t="s">
        <v>5302</v>
      </c>
      <c r="D5313" s="4" t="str">
        <f>HYPERLINK("https://12go.asia/en/travel/khandwa/lokmanya-tilak-term", "12Go Link")</f>
        <v>12Go Link</v>
      </c>
      <c r="E5313" s="3" t="s">
        <v>94</v>
      </c>
      <c r="K5313" s="5"/>
    </row>
    <row r="5314">
      <c r="A5314" s="3" t="s">
        <v>4864</v>
      </c>
      <c r="B5314" s="3" t="s">
        <v>3690</v>
      </c>
      <c r="C5314" s="3" t="s">
        <v>5303</v>
      </c>
      <c r="D5314" s="4" t="str">
        <f>HYPERLINK("https://12go.asia/en/travel/khandwa/mumbai", "12Go Link")</f>
        <v>12Go Link</v>
      </c>
      <c r="E5314" s="3" t="s">
        <v>94</v>
      </c>
      <c r="K5314" s="5"/>
    </row>
    <row r="5315">
      <c r="A5315" s="3" t="s">
        <v>4864</v>
      </c>
      <c r="B5315" s="3" t="s">
        <v>3690</v>
      </c>
      <c r="C5315" s="3" t="s">
        <v>5304</v>
      </c>
      <c r="D5315" s="4" t="str">
        <f>HYPERLINK("https://12go.asia/en/travel/khandwa/mumbai-cst", "12Go Link")</f>
        <v>12Go Link</v>
      </c>
      <c r="E5315" s="3" t="s">
        <v>94</v>
      </c>
      <c r="K5315" s="5"/>
    </row>
    <row r="5316">
      <c r="A5316" s="3" t="s">
        <v>4864</v>
      </c>
      <c r="B5316" s="3" t="s">
        <v>4407</v>
      </c>
      <c r="C5316" s="3" t="s">
        <v>5305</v>
      </c>
      <c r="D5316" s="4" t="str">
        <f>HYPERLINK("https://12go.asia/en/travel/khandwa/nashik", "12Go Link")</f>
        <v>12Go Link</v>
      </c>
      <c r="E5316" s="3" t="s">
        <v>94</v>
      </c>
      <c r="K5316" s="5"/>
    </row>
    <row r="5317">
      <c r="A5317" s="3" t="s">
        <v>4864</v>
      </c>
      <c r="B5317" s="3" t="s">
        <v>4407</v>
      </c>
      <c r="C5317" s="3" t="s">
        <v>5306</v>
      </c>
      <c r="D5317" s="4" t="str">
        <f>HYPERLINK("https://12go.asia/en/travel/khandwa/nasik-road", "12Go Link")</f>
        <v>12Go Link</v>
      </c>
      <c r="E5317" s="3" t="s">
        <v>94</v>
      </c>
      <c r="K5317" s="5"/>
    </row>
    <row r="5318">
      <c r="A5318" s="3" t="s">
        <v>4864</v>
      </c>
      <c r="B5318" s="3" t="s">
        <v>5016</v>
      </c>
      <c r="C5318" s="3" t="s">
        <v>5307</v>
      </c>
      <c r="D5318" s="4" t="str">
        <f>HYPERLINK("https://12go.asia/en/travel/khandwa/panvel", "12Go Link")</f>
        <v>12Go Link</v>
      </c>
      <c r="E5318" s="3" t="s">
        <v>94</v>
      </c>
      <c r="K5318" s="5"/>
    </row>
    <row r="5319">
      <c r="A5319" s="3" t="s">
        <v>4864</v>
      </c>
      <c r="B5319" s="3" t="s">
        <v>4143</v>
      </c>
      <c r="C5319" s="3" t="s">
        <v>5308</v>
      </c>
      <c r="D5319" s="4" t="str">
        <f>HYPERLINK("https://12go.asia/en/travel/khandwa/telangana", "12Go Link")</f>
        <v>12Go Link</v>
      </c>
      <c r="E5319" s="3" t="s">
        <v>94</v>
      </c>
      <c r="K5319" s="5"/>
    </row>
    <row r="5320">
      <c r="A5320" s="3" t="s">
        <v>4864</v>
      </c>
      <c r="B5320" s="3" t="s">
        <v>3776</v>
      </c>
      <c r="C5320" s="3" t="s">
        <v>5309</v>
      </c>
      <c r="D5320" s="4" t="str">
        <f>HYPERLINK("https://12go.asia/en/travel/khandwa/ujjain", "12Go Link")</f>
        <v>12Go Link</v>
      </c>
      <c r="E5320" s="3" t="s">
        <v>94</v>
      </c>
      <c r="K5320" s="5"/>
    </row>
    <row r="5321">
      <c r="A5321" s="3" t="s">
        <v>5310</v>
      </c>
      <c r="B5321" s="3" t="s">
        <v>4075</v>
      </c>
      <c r="C5321" s="3" t="s">
        <v>5311</v>
      </c>
      <c r="D5321" s="4" t="str">
        <f>HYPERLINK("https://12go.asia/en/travel/khanna/punjab", "12Go Link")</f>
        <v>12Go Link</v>
      </c>
      <c r="E5321" s="3" t="s">
        <v>94</v>
      </c>
      <c r="K5321" s="5"/>
    </row>
    <row r="5322">
      <c r="A5322" s="3" t="s">
        <v>4961</v>
      </c>
      <c r="B5322" s="3" t="s">
        <v>3847</v>
      </c>
      <c r="C5322" s="3" t="s">
        <v>5312</v>
      </c>
      <c r="D5322" s="4" t="str">
        <f>HYPERLINK("https://12go.asia/en/travel/kharagpur-junction/ksr-bangalore", "12Go Link")</f>
        <v>12Go Link</v>
      </c>
      <c r="E5322" s="3" t="s">
        <v>94</v>
      </c>
      <c r="K5322" s="5"/>
    </row>
    <row r="5323">
      <c r="A5323" s="3" t="s">
        <v>4961</v>
      </c>
      <c r="B5323" s="3" t="s">
        <v>3847</v>
      </c>
      <c r="C5323" s="3" t="s">
        <v>5313</v>
      </c>
      <c r="D5323" s="4" t="str">
        <f>HYPERLINK("https://12go.asia/en/travel/kharagpur-junction/new-bengaluru-terminal", "12Go Link")</f>
        <v>12Go Link</v>
      </c>
      <c r="E5323" s="3" t="s">
        <v>94</v>
      </c>
      <c r="K5323" s="5"/>
    </row>
    <row r="5324">
      <c r="A5324" s="3" t="s">
        <v>4961</v>
      </c>
      <c r="B5324" s="3" t="s">
        <v>3847</v>
      </c>
      <c r="C5324" s="3" t="s">
        <v>5314</v>
      </c>
      <c r="D5324" s="4" t="str">
        <f>HYPERLINK("https://12go.asia/en/travel/kharagpur/bangalore", "12Go Link")</f>
        <v>12Go Link</v>
      </c>
      <c r="E5324" s="3" t="s">
        <v>94</v>
      </c>
      <c r="K5324" s="5"/>
    </row>
    <row r="5325">
      <c r="A5325" s="3" t="s">
        <v>4961</v>
      </c>
      <c r="B5325" s="3" t="s">
        <v>5315</v>
      </c>
      <c r="C5325" s="3" t="s">
        <v>5316</v>
      </c>
      <c r="D5325" s="4" t="str">
        <f>HYPERLINK("https://12go.asia/en/travel/kharagpur-junction/bankura", "12Go Link")</f>
        <v>12Go Link</v>
      </c>
      <c r="E5325" s="3" t="s">
        <v>94</v>
      </c>
      <c r="K5325" s="5"/>
    </row>
    <row r="5326">
      <c r="A5326" s="3" t="s">
        <v>4961</v>
      </c>
      <c r="B5326" s="3" t="s">
        <v>5315</v>
      </c>
      <c r="C5326" s="3" t="s">
        <v>5317</v>
      </c>
      <c r="D5326" s="4" t="str">
        <f>HYPERLINK("https://12go.asia/en/travel/kharagpur/bankura", "12Go Link")</f>
        <v>12Go Link</v>
      </c>
      <c r="E5326" s="3" t="s">
        <v>94</v>
      </c>
      <c r="K5326" s="5"/>
    </row>
    <row r="5327">
      <c r="A5327" s="3" t="s">
        <v>4961</v>
      </c>
      <c r="B5327" s="3" t="s">
        <v>3715</v>
      </c>
      <c r="C5327" s="3" t="s">
        <v>5318</v>
      </c>
      <c r="D5327" s="4" t="str">
        <f>HYPERLINK("https://12go.asia/en/travel/kharagpur-junction/chennai-central", "12Go Link")</f>
        <v>12Go Link</v>
      </c>
      <c r="E5327" s="3" t="s">
        <v>94</v>
      </c>
      <c r="K5327" s="5"/>
    </row>
    <row r="5328">
      <c r="A5328" s="3" t="s">
        <v>4961</v>
      </c>
      <c r="B5328" s="3" t="s">
        <v>3715</v>
      </c>
      <c r="C5328" s="3" t="s">
        <v>5319</v>
      </c>
      <c r="D5328" s="4" t="str">
        <f>HYPERLINK("https://12go.asia/en/travel/kharagpur-junction/perambur", "12Go Link")</f>
        <v>12Go Link</v>
      </c>
      <c r="E5328" s="3" t="s">
        <v>94</v>
      </c>
      <c r="K5328" s="5"/>
    </row>
    <row r="5329">
      <c r="A5329" s="3" t="s">
        <v>4961</v>
      </c>
      <c r="B5329" s="3" t="s">
        <v>3715</v>
      </c>
      <c r="C5329" s="3" t="s">
        <v>5320</v>
      </c>
      <c r="D5329" s="4" t="str">
        <f>HYPERLINK("https://12go.asia/en/travel/kharagpur/chennai", "12Go Link")</f>
        <v>12Go Link</v>
      </c>
      <c r="E5329" s="3" t="s">
        <v>94</v>
      </c>
      <c r="K5329" s="5"/>
    </row>
    <row r="5330">
      <c r="A5330" s="3" t="s">
        <v>4961</v>
      </c>
      <c r="B5330" s="3" t="s">
        <v>3890</v>
      </c>
      <c r="C5330" s="3" t="s">
        <v>5321</v>
      </c>
      <c r="D5330" s="4" t="str">
        <f>HYPERLINK("https://12go.asia/en/travel/kharagpur/goa", "12Go Link")</f>
        <v>12Go Link</v>
      </c>
      <c r="E5330" s="3" t="s">
        <v>94</v>
      </c>
      <c r="K5330" s="5"/>
    </row>
    <row r="5331">
      <c r="A5331" s="3" t="s">
        <v>4961</v>
      </c>
      <c r="B5331" s="3" t="s">
        <v>3638</v>
      </c>
      <c r="C5331" s="3" t="s">
        <v>5322</v>
      </c>
      <c r="D5331" s="4" t="str">
        <f>HYPERLINK("https://12go.asia/en/travel/kharagpur-junction/hyderabad-decan", "12Go Link")</f>
        <v>12Go Link</v>
      </c>
      <c r="E5331" s="3" t="s">
        <v>94</v>
      </c>
      <c r="K5331" s="5"/>
    </row>
    <row r="5332">
      <c r="A5332" s="3" t="s">
        <v>4961</v>
      </c>
      <c r="B5332" s="3" t="s">
        <v>4172</v>
      </c>
      <c r="C5332" s="3" t="s">
        <v>5323</v>
      </c>
      <c r="D5332" s="4" t="str">
        <f>HYPERLINK("https://12go.asia/en/travel/kharagpur/karnataka", "12Go Link")</f>
        <v>12Go Link</v>
      </c>
      <c r="E5332" s="3" t="s">
        <v>94</v>
      </c>
      <c r="K5332" s="5"/>
    </row>
    <row r="5333">
      <c r="A5333" s="3" t="s">
        <v>4961</v>
      </c>
      <c r="B5333" s="3" t="s">
        <v>163</v>
      </c>
      <c r="C5333" s="3" t="s">
        <v>5324</v>
      </c>
      <c r="D5333" s="4" t="str">
        <f>HYPERLINK("https://12go.asia/en/travel/kharagpur/maharashtra", "12Go Link")</f>
        <v>12Go Link</v>
      </c>
      <c r="E5333" s="3" t="s">
        <v>94</v>
      </c>
      <c r="K5333" s="5"/>
    </row>
    <row r="5334">
      <c r="A5334" s="3" t="s">
        <v>4961</v>
      </c>
      <c r="B5334" s="3" t="s">
        <v>165</v>
      </c>
      <c r="C5334" s="3" t="s">
        <v>5325</v>
      </c>
      <c r="D5334" s="4" t="str">
        <f>HYPERLINK("https://12go.asia/en/travel/kharagpur-junction/madgaon", "12Go Link")</f>
        <v>12Go Link</v>
      </c>
      <c r="E5334" s="3" t="s">
        <v>94</v>
      </c>
      <c r="K5334" s="5"/>
    </row>
    <row r="5335">
      <c r="A5335" s="3" t="s">
        <v>4961</v>
      </c>
      <c r="B5335" s="3" t="s">
        <v>165</v>
      </c>
      <c r="C5335" s="3" t="s">
        <v>5326</v>
      </c>
      <c r="D5335" s="4" t="str">
        <f>HYPERLINK("https://12go.asia/en/travel/kharagpur/madgaon", "12Go Link")</f>
        <v>12Go Link</v>
      </c>
      <c r="E5335" s="3" t="s">
        <v>94</v>
      </c>
      <c r="K5335" s="5"/>
    </row>
    <row r="5336">
      <c r="A5336" s="3" t="s">
        <v>4961</v>
      </c>
      <c r="B5336" s="3" t="s">
        <v>3690</v>
      </c>
      <c r="C5336" s="3" t="s">
        <v>5327</v>
      </c>
      <c r="D5336" s="4" t="str">
        <f>HYPERLINK("https://12go.asia/en/travel/kharagpur-junction/mumbai-dadar", "12Go Link")</f>
        <v>12Go Link</v>
      </c>
      <c r="E5336" s="3" t="s">
        <v>94</v>
      </c>
      <c r="K5336" s="5"/>
    </row>
    <row r="5337">
      <c r="A5337" s="3" t="s">
        <v>4961</v>
      </c>
      <c r="B5337" s="3" t="s">
        <v>3593</v>
      </c>
      <c r="C5337" s="3" t="s">
        <v>5328</v>
      </c>
      <c r="D5337" s="4" t="str">
        <f>HYPERLINK("https://12go.asia/en/travel/kharagpur-junction/rampur-hat", "12Go Link")</f>
        <v>12Go Link</v>
      </c>
      <c r="E5337" s="3" t="s">
        <v>94</v>
      </c>
      <c r="K5337" s="5"/>
    </row>
    <row r="5338">
      <c r="A5338" s="3" t="s">
        <v>4961</v>
      </c>
      <c r="B5338" s="3" t="s">
        <v>3593</v>
      </c>
      <c r="C5338" s="3" t="s">
        <v>5329</v>
      </c>
      <c r="D5338" s="4" t="str">
        <f>HYPERLINK("https://12go.asia/en/travel/kharagpur/rampur-hat", "12Go Link")</f>
        <v>12Go Link</v>
      </c>
      <c r="E5338" s="3" t="s">
        <v>94</v>
      </c>
      <c r="K5338" s="5"/>
    </row>
    <row r="5339">
      <c r="A5339" s="3" t="s">
        <v>4961</v>
      </c>
      <c r="B5339" s="3" t="s">
        <v>4143</v>
      </c>
      <c r="C5339" s="3" t="s">
        <v>5330</v>
      </c>
      <c r="D5339" s="4" t="str">
        <f>HYPERLINK("https://12go.asia/en/travel/kharagpur/telangana", "12Go Link")</f>
        <v>12Go Link</v>
      </c>
      <c r="E5339" s="3" t="s">
        <v>94</v>
      </c>
      <c r="K5339" s="5"/>
    </row>
    <row r="5340">
      <c r="A5340" s="3" t="s">
        <v>5331</v>
      </c>
      <c r="B5340" s="3" t="s">
        <v>3647</v>
      </c>
      <c r="C5340" s="3" t="s">
        <v>5332</v>
      </c>
      <c r="D5340" s="4" t="str">
        <f>HYPERLINK("https://12go.asia/en/travel/khatima/delhi", "12Go Link")</f>
        <v>12Go Link</v>
      </c>
      <c r="E5340" s="3" t="s">
        <v>94</v>
      </c>
      <c r="K5340" s="5"/>
    </row>
    <row r="5341">
      <c r="A5341" s="3" t="s">
        <v>4747</v>
      </c>
      <c r="B5341" s="3" t="s">
        <v>3678</v>
      </c>
      <c r="C5341" s="3" t="s">
        <v>5333</v>
      </c>
      <c r="D5341" s="4" t="str">
        <f>HYPERLINK("https://12go.asia/en/travel/khurda-road-junction/lingampalli", "12Go Link")</f>
        <v>12Go Link</v>
      </c>
      <c r="E5341" s="3" t="s">
        <v>94</v>
      </c>
      <c r="K5341" s="5"/>
    </row>
    <row r="5342">
      <c r="A5342" s="3" t="s">
        <v>4747</v>
      </c>
      <c r="B5342" s="3" t="s">
        <v>3678</v>
      </c>
      <c r="C5342" s="3" t="s">
        <v>5334</v>
      </c>
      <c r="D5342" s="4" t="str">
        <f>HYPERLINK("https://12go.asia/en/travel/khurda/lingampalli", "12Go Link")</f>
        <v>12Go Link</v>
      </c>
      <c r="E5342" s="3" t="s">
        <v>94</v>
      </c>
      <c r="K5342" s="5"/>
    </row>
    <row r="5343">
      <c r="A5343" s="3" t="s">
        <v>4747</v>
      </c>
      <c r="B5343" s="3" t="s">
        <v>4130</v>
      </c>
      <c r="C5343" s="3" t="s">
        <v>5335</v>
      </c>
      <c r="D5343" s="4" t="str">
        <f>HYPERLINK("https://12go.asia/en/travel/khurda-road-junction/puri", "12Go Link")</f>
        <v>12Go Link</v>
      </c>
      <c r="E5343" s="3" t="s">
        <v>94</v>
      </c>
      <c r="K5343" s="5"/>
    </row>
    <row r="5344">
      <c r="A5344" s="3" t="s">
        <v>4747</v>
      </c>
      <c r="B5344" s="3" t="s">
        <v>4130</v>
      </c>
      <c r="C5344" s="3" t="s">
        <v>5336</v>
      </c>
      <c r="D5344" s="4" t="str">
        <f>HYPERLINK("https://12go.asia/en/travel/khurda/puri", "12Go Link")</f>
        <v>12Go Link</v>
      </c>
      <c r="E5344" s="3" t="s">
        <v>94</v>
      </c>
      <c r="K5344" s="5"/>
    </row>
    <row r="5345">
      <c r="A5345" s="3" t="s">
        <v>4747</v>
      </c>
      <c r="B5345" s="3" t="s">
        <v>4443</v>
      </c>
      <c r="C5345" s="3" t="s">
        <v>5337</v>
      </c>
      <c r="D5345" s="4" t="str">
        <f>HYPERLINK("https://12go.asia/en/travel/khurda-road-junction/rajahmundry", "12Go Link")</f>
        <v>12Go Link</v>
      </c>
      <c r="E5345" s="3" t="s">
        <v>94</v>
      </c>
      <c r="K5345" s="5"/>
    </row>
    <row r="5346">
      <c r="A5346" s="3" t="s">
        <v>4747</v>
      </c>
      <c r="B5346" s="3" t="s">
        <v>4443</v>
      </c>
      <c r="C5346" s="3" t="s">
        <v>5338</v>
      </c>
      <c r="D5346" s="4" t="str">
        <f>HYPERLINK("https://12go.asia/en/travel/khurda/rajahmundry", "12Go Link")</f>
        <v>12Go Link</v>
      </c>
      <c r="E5346" s="3" t="s">
        <v>94</v>
      </c>
      <c r="K5346" s="5"/>
    </row>
    <row r="5347">
      <c r="A5347" s="3" t="s">
        <v>4180</v>
      </c>
      <c r="B5347" s="3" t="s">
        <v>3847</v>
      </c>
      <c r="C5347" s="3" t="s">
        <v>5339</v>
      </c>
      <c r="D5347" s="4" t="str">
        <f>HYPERLINK("https://12go.asia/en/travel/kishanganj/bangalore", "12Go Link")</f>
        <v>12Go Link</v>
      </c>
      <c r="E5347" s="3" t="s">
        <v>94</v>
      </c>
      <c r="K5347" s="5"/>
    </row>
    <row r="5348">
      <c r="A5348" s="3" t="s">
        <v>4180</v>
      </c>
      <c r="B5348" s="3" t="s">
        <v>3847</v>
      </c>
      <c r="C5348" s="3" t="s">
        <v>5340</v>
      </c>
      <c r="D5348" s="4" t="str">
        <f>HYPERLINK("https://12go.asia/en/travel/kishanganj/new-bengaluru-terminal", "12Go Link")</f>
        <v>12Go Link</v>
      </c>
      <c r="E5348" s="3" t="s">
        <v>94</v>
      </c>
      <c r="K5348" s="5"/>
    </row>
    <row r="5349">
      <c r="A5349" s="3" t="s">
        <v>4180</v>
      </c>
      <c r="B5349" s="3" t="s">
        <v>4209</v>
      </c>
      <c r="C5349" s="3" t="s">
        <v>5341</v>
      </c>
      <c r="D5349" s="4" t="str">
        <f>HYPERLINK("https://12go.asia/en/travel/kishanganj/danapur", "12Go Link")</f>
        <v>12Go Link</v>
      </c>
      <c r="E5349" s="3" t="s">
        <v>94</v>
      </c>
      <c r="K5349" s="5"/>
    </row>
    <row r="5350">
      <c r="A5350" s="3" t="s">
        <v>4180</v>
      </c>
      <c r="B5350" s="3" t="s">
        <v>4172</v>
      </c>
      <c r="C5350" s="3" t="s">
        <v>5342</v>
      </c>
      <c r="D5350" s="4" t="str">
        <f>HYPERLINK("https://12go.asia/en/travel/kishanganj/karnataka", "12Go Link")</f>
        <v>12Go Link</v>
      </c>
      <c r="E5350" s="3" t="s">
        <v>94</v>
      </c>
      <c r="K5350" s="5"/>
    </row>
    <row r="5351">
      <c r="A5351" s="3" t="s">
        <v>5343</v>
      </c>
      <c r="B5351" s="3" t="s">
        <v>4043</v>
      </c>
      <c r="C5351" s="3" t="s">
        <v>5344</v>
      </c>
      <c r="D5351" s="4" t="str">
        <f>HYPERLINK("https://12go.asia/en/travel/kishangarh/bhilwara", "12Go Link")</f>
        <v>12Go Link</v>
      </c>
      <c r="E5351" s="3" t="s">
        <v>94</v>
      </c>
      <c r="K5351" s="5"/>
    </row>
    <row r="5352">
      <c r="A5352" s="3" t="s">
        <v>4182</v>
      </c>
      <c r="B5352" s="3" t="s">
        <v>3643</v>
      </c>
      <c r="C5352" s="3" t="s">
        <v>5345</v>
      </c>
      <c r="D5352" s="4" t="str">
        <f>HYPERLINK("https://12go.asia/en/travel/ernakulam-jn/mararikulam", "12Go Link")</f>
        <v>12Go Link</v>
      </c>
      <c r="E5352" s="3" t="s">
        <v>94</v>
      </c>
      <c r="K5352" s="5"/>
    </row>
    <row r="5353">
      <c r="A5353" s="3" t="s">
        <v>4182</v>
      </c>
      <c r="B5353" s="3" t="s">
        <v>4110</v>
      </c>
      <c r="C5353" s="3" t="s">
        <v>5346</v>
      </c>
      <c r="D5353" s="4" t="str">
        <f>HYPERLINK("https://12go.asia/en/travel/ernakulam-jn/bhusaval-junction", "12Go Link")</f>
        <v>12Go Link</v>
      </c>
      <c r="E5353" s="3" t="s">
        <v>94</v>
      </c>
      <c r="K5353" s="5"/>
    </row>
    <row r="5354">
      <c r="A5354" s="3" t="s">
        <v>4182</v>
      </c>
      <c r="B5354" s="3" t="s">
        <v>4110</v>
      </c>
      <c r="C5354" s="3" t="s">
        <v>5347</v>
      </c>
      <c r="D5354" s="4" t="str">
        <f>HYPERLINK("https://12go.asia/en/travel/kochi-india/bhusaval", "12Go Link")</f>
        <v>12Go Link</v>
      </c>
      <c r="E5354" s="3" t="s">
        <v>94</v>
      </c>
      <c r="K5354" s="5"/>
    </row>
    <row r="5355">
      <c r="A5355" s="3" t="s">
        <v>4182</v>
      </c>
      <c r="B5355" s="3" t="s">
        <v>4615</v>
      </c>
      <c r="C5355" s="3" t="s">
        <v>5348</v>
      </c>
      <c r="D5355" s="4" t="str">
        <f>HYPERLINK("https://12go.asia/en/travel/ernakulam-jn/chalakudi", "12Go Link")</f>
        <v>12Go Link</v>
      </c>
      <c r="E5355" s="3" t="s">
        <v>94</v>
      </c>
      <c r="K5355" s="5"/>
    </row>
    <row r="5356">
      <c r="A5356" s="3" t="s">
        <v>4182</v>
      </c>
      <c r="B5356" s="3" t="s">
        <v>4615</v>
      </c>
      <c r="C5356" s="3" t="s">
        <v>5349</v>
      </c>
      <c r="D5356" s="4" t="str">
        <f>HYPERLINK("https://12go.asia/en/travel/ernakulam-town-north/chalakudi", "12Go Link")</f>
        <v>12Go Link</v>
      </c>
      <c r="E5356" s="3" t="s">
        <v>94</v>
      </c>
      <c r="K5356" s="5"/>
    </row>
    <row r="5357">
      <c r="A5357" s="3" t="s">
        <v>4182</v>
      </c>
      <c r="B5357" s="3" t="s">
        <v>4615</v>
      </c>
      <c r="C5357" s="3" t="s">
        <v>5350</v>
      </c>
      <c r="D5357" s="4" t="str">
        <f>HYPERLINK("https://12go.asia/en/travel/kochi-india/chalakudy", "12Go Link")</f>
        <v>12Go Link</v>
      </c>
      <c r="E5357" s="3" t="s">
        <v>94</v>
      </c>
      <c r="K5357" s="5"/>
    </row>
    <row r="5358">
      <c r="A5358" s="3" t="s">
        <v>4182</v>
      </c>
      <c r="B5358" s="3" t="s">
        <v>4013</v>
      </c>
      <c r="C5358" s="3" t="s">
        <v>5351</v>
      </c>
      <c r="D5358" s="4" t="str">
        <f>HYPERLINK("https://12go.asia/en/travel/kochi-india/daman", "12Go Link")</f>
        <v>12Go Link</v>
      </c>
      <c r="E5358" s="3" t="s">
        <v>94</v>
      </c>
      <c r="K5358" s="5"/>
    </row>
    <row r="5359">
      <c r="A5359" s="3" t="s">
        <v>4182</v>
      </c>
      <c r="B5359" s="3" t="s">
        <v>3896</v>
      </c>
      <c r="C5359" s="3" t="s">
        <v>5352</v>
      </c>
      <c r="D5359" s="4" t="str">
        <f>HYPERLINK("https://12go.asia/en/travel/ernakulam-jn/irinjalakuda", "12Go Link")</f>
        <v>12Go Link</v>
      </c>
      <c r="E5359" s="3" t="s">
        <v>94</v>
      </c>
      <c r="K5359" s="5"/>
    </row>
    <row r="5360">
      <c r="A5360" s="3" t="s">
        <v>4182</v>
      </c>
      <c r="B5360" s="3" t="s">
        <v>3896</v>
      </c>
      <c r="C5360" s="3" t="s">
        <v>5353</v>
      </c>
      <c r="D5360" s="4" t="str">
        <f>HYPERLINK("https://12go.asia/en/travel/kochi-india/irinjalakuda", "12Go Link")</f>
        <v>12Go Link</v>
      </c>
      <c r="E5360" s="3" t="s">
        <v>94</v>
      </c>
      <c r="K5360" s="5"/>
    </row>
    <row r="5361">
      <c r="A5361" s="3" t="s">
        <v>4182</v>
      </c>
      <c r="B5361" s="3" t="s">
        <v>5142</v>
      </c>
      <c r="C5361" s="3" t="s">
        <v>5354</v>
      </c>
      <c r="D5361" s="4" t="str">
        <f>HYPERLINK("https://12go.asia/en/travel/ernakulam-town-north/kanhangad", "12Go Link")</f>
        <v>12Go Link</v>
      </c>
      <c r="E5361" s="3" t="s">
        <v>94</v>
      </c>
      <c r="K5361" s="5"/>
    </row>
    <row r="5362">
      <c r="A5362" s="3" t="s">
        <v>4182</v>
      </c>
      <c r="B5362" s="3" t="s">
        <v>4578</v>
      </c>
      <c r="C5362" s="3" t="s">
        <v>5355</v>
      </c>
      <c r="D5362" s="4" t="str">
        <f>HYPERLINK("https://12go.asia/en/travel/ernakulam-jn/ludhiana", "12Go Link")</f>
        <v>12Go Link</v>
      </c>
      <c r="E5362" s="3" t="s">
        <v>94</v>
      </c>
      <c r="K5362" s="5"/>
    </row>
    <row r="5363">
      <c r="A5363" s="3" t="s">
        <v>4182</v>
      </c>
      <c r="B5363" s="3" t="s">
        <v>4578</v>
      </c>
      <c r="C5363" s="3" t="s">
        <v>5356</v>
      </c>
      <c r="D5363" s="4" t="str">
        <f>HYPERLINK("https://12go.asia/en/travel/kochi-india/ludhiana", "12Go Link")</f>
        <v>12Go Link</v>
      </c>
      <c r="E5363" s="3" t="s">
        <v>94</v>
      </c>
      <c r="K5363" s="5"/>
    </row>
    <row r="5364">
      <c r="A5364" s="3" t="s">
        <v>4182</v>
      </c>
      <c r="B5364" s="3" t="s">
        <v>4407</v>
      </c>
      <c r="C5364" s="3" t="s">
        <v>5357</v>
      </c>
      <c r="D5364" s="4" t="str">
        <f>HYPERLINK("https://12go.asia/en/travel/ernakulam-jn/nasik-road", "12Go Link")</f>
        <v>12Go Link</v>
      </c>
      <c r="E5364" s="3" t="s">
        <v>94</v>
      </c>
      <c r="K5364" s="5"/>
    </row>
    <row r="5365">
      <c r="A5365" s="3" t="s">
        <v>4182</v>
      </c>
      <c r="B5365" s="3" t="s">
        <v>4407</v>
      </c>
      <c r="C5365" s="3" t="s">
        <v>5358</v>
      </c>
      <c r="D5365" s="4" t="str">
        <f>HYPERLINK("https://12go.asia/en/travel/kochi-india/nashik", "12Go Link")</f>
        <v>12Go Link</v>
      </c>
      <c r="E5365" s="3" t="s">
        <v>94</v>
      </c>
      <c r="K5365" s="5"/>
    </row>
    <row r="5366">
      <c r="A5366" s="3" t="s">
        <v>4182</v>
      </c>
      <c r="B5366" s="3" t="s">
        <v>3970</v>
      </c>
      <c r="C5366" s="3" t="s">
        <v>5359</v>
      </c>
      <c r="D5366" s="4" t="str">
        <f>HYPERLINK("https://12go.asia/en/travel/kochi-india/navi-mumbai", "12Go Link")</f>
        <v>12Go Link</v>
      </c>
      <c r="E5366" s="3" t="s">
        <v>94</v>
      </c>
      <c r="K5366" s="5"/>
    </row>
    <row r="5367">
      <c r="A5367" s="3" t="s">
        <v>4182</v>
      </c>
      <c r="B5367" s="3" t="s">
        <v>5240</v>
      </c>
      <c r="C5367" s="3" t="s">
        <v>5360</v>
      </c>
      <c r="D5367" s="4" t="str">
        <f>HYPERLINK("https://12go.asia/en/travel/ernakulam-jn/nileshwar", "12Go Link")</f>
        <v>12Go Link</v>
      </c>
      <c r="E5367" s="3" t="s">
        <v>94</v>
      </c>
      <c r="K5367" s="5"/>
    </row>
    <row r="5368">
      <c r="A5368" s="3" t="s">
        <v>4182</v>
      </c>
      <c r="B5368" s="3" t="s">
        <v>5240</v>
      </c>
      <c r="C5368" s="3" t="s">
        <v>5361</v>
      </c>
      <c r="D5368" s="4" t="str">
        <f>HYPERLINK("https://12go.asia/en/travel/kochi-india/nileshwar", "12Go Link")</f>
        <v>12Go Link</v>
      </c>
      <c r="E5368" s="3" t="s">
        <v>94</v>
      </c>
      <c r="K5368" s="5"/>
    </row>
    <row r="5369">
      <c r="A5369" s="3" t="s">
        <v>4182</v>
      </c>
      <c r="B5369" s="3" t="s">
        <v>5243</v>
      </c>
      <c r="C5369" s="3" t="s">
        <v>5362</v>
      </c>
      <c r="D5369" s="4" t="str">
        <f>HYPERLINK("https://12go.asia/en/travel/kochi-india/old-goa", "12Go Link")</f>
        <v>12Go Link</v>
      </c>
      <c r="E5369" s="3" t="s">
        <v>94</v>
      </c>
      <c r="K5369" s="5"/>
    </row>
    <row r="5370">
      <c r="A5370" s="3" t="s">
        <v>4182</v>
      </c>
      <c r="B5370" s="3" t="s">
        <v>4628</v>
      </c>
      <c r="C5370" s="3" t="s">
        <v>5363</v>
      </c>
      <c r="D5370" s="4" t="str">
        <f>HYPERLINK("https://12go.asia/en/travel/ernakulam-jn/pattambi", "12Go Link")</f>
        <v>12Go Link</v>
      </c>
      <c r="E5370" s="3" t="s">
        <v>94</v>
      </c>
      <c r="K5370" s="5"/>
    </row>
    <row r="5371">
      <c r="A5371" s="3" t="s">
        <v>4182</v>
      </c>
      <c r="B5371" s="3" t="s">
        <v>5246</v>
      </c>
      <c r="C5371" s="3" t="s">
        <v>5364</v>
      </c>
      <c r="D5371" s="4" t="str">
        <f>HYPERLINK("https://12go.asia/en/travel/ernakulam-town-north/punalur", "12Go Link")</f>
        <v>12Go Link</v>
      </c>
      <c r="E5371" s="3" t="s">
        <v>94</v>
      </c>
      <c r="K5371" s="5"/>
    </row>
    <row r="5372">
      <c r="A5372" s="3" t="s">
        <v>4182</v>
      </c>
      <c r="B5372" s="3" t="s">
        <v>5246</v>
      </c>
      <c r="C5372" s="3" t="s">
        <v>5365</v>
      </c>
      <c r="D5372" s="4" t="str">
        <f>HYPERLINK("https://12go.asia/en/travel/kochi-india/punalur", "12Go Link")</f>
        <v>12Go Link</v>
      </c>
      <c r="E5372" s="3" t="s">
        <v>94</v>
      </c>
      <c r="K5372" s="5"/>
    </row>
    <row r="5373">
      <c r="A5373" s="3" t="s">
        <v>4182</v>
      </c>
      <c r="B5373" s="3" t="s">
        <v>3798</v>
      </c>
      <c r="C5373" s="3" t="s">
        <v>5366</v>
      </c>
      <c r="D5373" s="4" t="str">
        <f>HYPERLINK("https://12go.asia/en/travel/ernakulam-town-north/new-jalpaiguri", "12Go Link")</f>
        <v>12Go Link</v>
      </c>
      <c r="E5373" s="3" t="s">
        <v>94</v>
      </c>
      <c r="K5373" s="5"/>
    </row>
    <row r="5374">
      <c r="A5374" s="3" t="s">
        <v>4182</v>
      </c>
      <c r="B5374" s="3" t="s">
        <v>4317</v>
      </c>
      <c r="C5374" s="3" t="s">
        <v>5367</v>
      </c>
      <c r="D5374" s="4" t="str">
        <f>HYPERLINK("https://12go.asia/en/travel/ernakulam-town-north/tenkasi-jn", "12Go Link")</f>
        <v>12Go Link</v>
      </c>
      <c r="E5374" s="3" t="s">
        <v>94</v>
      </c>
      <c r="K5374" s="5"/>
    </row>
    <row r="5375">
      <c r="A5375" s="3" t="s">
        <v>4182</v>
      </c>
      <c r="B5375" s="3" t="s">
        <v>4317</v>
      </c>
      <c r="C5375" s="3" t="s">
        <v>5368</v>
      </c>
      <c r="D5375" s="4" t="str">
        <f>HYPERLINK("https://12go.asia/en/travel/kochi-india/tenkasi", "12Go Link")</f>
        <v>12Go Link</v>
      </c>
      <c r="E5375" s="3" t="s">
        <v>94</v>
      </c>
      <c r="K5375" s="5"/>
    </row>
    <row r="5376">
      <c r="A5376" s="3" t="s">
        <v>4182</v>
      </c>
      <c r="B5376" s="3" t="s">
        <v>4026</v>
      </c>
      <c r="C5376" s="3" t="s">
        <v>5369</v>
      </c>
      <c r="D5376" s="4" t="str">
        <f>HYPERLINK("https://12go.asia/en/travel/ernakulam-jn/vapi", "12Go Link")</f>
        <v>12Go Link</v>
      </c>
      <c r="E5376" s="3" t="s">
        <v>94</v>
      </c>
      <c r="K5376" s="5"/>
    </row>
    <row r="5377">
      <c r="A5377" s="3" t="s">
        <v>4182</v>
      </c>
      <c r="B5377" s="3" t="s">
        <v>4026</v>
      </c>
      <c r="C5377" s="3" t="s">
        <v>5370</v>
      </c>
      <c r="D5377" s="4" t="str">
        <f>HYPERLINK("https://12go.asia/en/travel/kochi-india/vapi", "12Go Link")</f>
        <v>12Go Link</v>
      </c>
      <c r="E5377" s="3" t="s">
        <v>94</v>
      </c>
      <c r="K5377" s="5"/>
    </row>
    <row r="5378">
      <c r="A5378" s="3" t="s">
        <v>4182</v>
      </c>
      <c r="B5378" s="3" t="s">
        <v>4270</v>
      </c>
      <c r="C5378" s="3" t="s">
        <v>5371</v>
      </c>
      <c r="D5378" s="4" t="str">
        <f>HYPERLINK("https://12go.asia/en/travel/ernakulam-jn/velankanni", "12Go Link")</f>
        <v>12Go Link</v>
      </c>
      <c r="E5378" s="3" t="s">
        <v>94</v>
      </c>
      <c r="K5378" s="5"/>
    </row>
    <row r="5379">
      <c r="A5379" s="3" t="s">
        <v>4526</v>
      </c>
      <c r="B5379" s="3" t="s">
        <v>5372</v>
      </c>
      <c r="C5379" s="3" t="s">
        <v>5373</v>
      </c>
      <c r="D5379" s="4" t="str">
        <f>HYPERLINK("https://12go.asia/en/travel/kokrajhar/alipur-duar-junction", "12Go Link")</f>
        <v>12Go Link</v>
      </c>
      <c r="E5379" s="3" t="s">
        <v>94</v>
      </c>
      <c r="K5379" s="5"/>
    </row>
    <row r="5380">
      <c r="A5380" s="3" t="s">
        <v>4526</v>
      </c>
      <c r="B5380" s="3" t="s">
        <v>5372</v>
      </c>
      <c r="C5380" s="3" t="s">
        <v>5374</v>
      </c>
      <c r="D5380" s="4" t="str">
        <f>HYPERLINK("https://12go.asia/en/travel/kokrajhar/alipurduar", "12Go Link")</f>
        <v>12Go Link</v>
      </c>
      <c r="E5380" s="3" t="s">
        <v>94</v>
      </c>
      <c r="K5380" s="5"/>
    </row>
    <row r="5381">
      <c r="A5381" s="3" t="s">
        <v>4526</v>
      </c>
      <c r="B5381" s="3" t="s">
        <v>5372</v>
      </c>
      <c r="C5381" s="3" t="s">
        <v>5375</v>
      </c>
      <c r="D5381" s="4" t="str">
        <f>HYPERLINK("https://12go.asia/en/travel/kokrajhar/new-alipurduar", "12Go Link")</f>
        <v>12Go Link</v>
      </c>
      <c r="E5381" s="3" t="s">
        <v>94</v>
      </c>
      <c r="K5381" s="5"/>
    </row>
    <row r="5382">
      <c r="A5382" s="3" t="s">
        <v>4526</v>
      </c>
      <c r="B5382" s="3" t="s">
        <v>4447</v>
      </c>
      <c r="C5382" s="3" t="s">
        <v>5376</v>
      </c>
      <c r="D5382" s="4" t="str">
        <f>HYPERLINK("https://12go.asia/en/travel/kokrajhar/cooch-behar", "12Go Link")</f>
        <v>12Go Link</v>
      </c>
      <c r="E5382" s="3" t="s">
        <v>94</v>
      </c>
      <c r="K5382" s="5"/>
    </row>
    <row r="5383">
      <c r="A5383" s="3" t="s">
        <v>4526</v>
      </c>
      <c r="B5383" s="3" t="s">
        <v>4447</v>
      </c>
      <c r="C5383" s="3" t="s">
        <v>5377</v>
      </c>
      <c r="D5383" s="4" t="str">
        <f>HYPERLINK("https://12go.asia/en/travel/kokrajhar/new-cooch-behar", "12Go Link")</f>
        <v>12Go Link</v>
      </c>
      <c r="E5383" s="3" t="s">
        <v>94</v>
      </c>
      <c r="K5383" s="5"/>
    </row>
    <row r="5384">
      <c r="A5384" s="3" t="s">
        <v>4526</v>
      </c>
      <c r="B5384" s="3" t="s">
        <v>5378</v>
      </c>
      <c r="C5384" s="3" t="s">
        <v>5379</v>
      </c>
      <c r="D5384" s="4" t="str">
        <f>HYPERLINK("https://12go.asia/en/travel/kokrajhar/mayapur", "12Go Link")</f>
        <v>12Go Link</v>
      </c>
      <c r="E5384" s="3" t="s">
        <v>94</v>
      </c>
      <c r="K5384" s="5"/>
    </row>
    <row r="5385">
      <c r="A5385" s="3" t="s">
        <v>4526</v>
      </c>
      <c r="B5385" s="3" t="s">
        <v>5380</v>
      </c>
      <c r="C5385" s="3" t="s">
        <v>5381</v>
      </c>
      <c r="D5385" s="4" t="str">
        <f>HYPERLINK("https://12go.asia/en/travel/kokrajhar/nabadwip", "12Go Link")</f>
        <v>12Go Link</v>
      </c>
      <c r="E5385" s="3" t="s">
        <v>94</v>
      </c>
      <c r="K5385" s="5"/>
    </row>
    <row r="5386">
      <c r="A5386" s="3" t="s">
        <v>4526</v>
      </c>
      <c r="B5386" s="3" t="s">
        <v>5380</v>
      </c>
      <c r="C5386" s="3" t="s">
        <v>5382</v>
      </c>
      <c r="D5386" s="4" t="str">
        <f>HYPERLINK("https://12go.asia/en/travel/kokrajhar/nabadwip-dham", "12Go Link")</f>
        <v>12Go Link</v>
      </c>
      <c r="E5386" s="3" t="s">
        <v>94</v>
      </c>
      <c r="K5386" s="5"/>
    </row>
    <row r="5387">
      <c r="A5387" s="3" t="s">
        <v>4526</v>
      </c>
      <c r="B5387" s="3" t="s">
        <v>3842</v>
      </c>
      <c r="C5387" s="3" t="s">
        <v>5383</v>
      </c>
      <c r="D5387" s="4" t="str">
        <f>HYPERLINK("https://12go.asia/en/travel/kokrajhar/new-delhi", "12Go Link")</f>
        <v>12Go Link</v>
      </c>
      <c r="E5387" s="3" t="s">
        <v>94</v>
      </c>
      <c r="K5387" s="5"/>
    </row>
    <row r="5388">
      <c r="A5388" s="3" t="s">
        <v>3704</v>
      </c>
      <c r="B5388" s="3" t="s">
        <v>3657</v>
      </c>
      <c r="C5388" s="3" t="s">
        <v>5384</v>
      </c>
      <c r="D5388" s="4" t="str">
        <f>HYPERLINK("https://12go.asia/en/travel/kolkata/aluva", "12Go Link")</f>
        <v>12Go Link</v>
      </c>
      <c r="E5388" s="3" t="s">
        <v>94</v>
      </c>
      <c r="K5388" s="5"/>
    </row>
    <row r="5389">
      <c r="A5389" s="3" t="s">
        <v>3704</v>
      </c>
      <c r="B5389" s="3" t="s">
        <v>3657</v>
      </c>
      <c r="C5389" s="3" t="s">
        <v>5385</v>
      </c>
      <c r="D5389" s="4" t="str">
        <f>HYPERLINK("https://12go.asia/en/travel/shalimar/aluva", "12Go Link")</f>
        <v>12Go Link</v>
      </c>
      <c r="E5389" s="3" t="s">
        <v>94</v>
      </c>
      <c r="K5389" s="5"/>
    </row>
    <row r="5390">
      <c r="A5390" s="3" t="s">
        <v>3704</v>
      </c>
      <c r="B5390" s="3" t="s">
        <v>3668</v>
      </c>
      <c r="C5390" s="3" t="s">
        <v>5386</v>
      </c>
      <c r="D5390" s="4" t="str">
        <f>HYPERLINK("https://12go.asia/en/travel/kolkata/amravati", "12Go Link")</f>
        <v>12Go Link</v>
      </c>
      <c r="E5390" s="3" t="s">
        <v>94</v>
      </c>
      <c r="K5390" s="5"/>
    </row>
    <row r="5391">
      <c r="A5391" s="3" t="s">
        <v>3704</v>
      </c>
      <c r="B5391" s="3" t="s">
        <v>3680</v>
      </c>
      <c r="C5391" s="3" t="s">
        <v>5387</v>
      </c>
      <c r="D5391" s="4" t="str">
        <f>HYPERLINK("https://12go.asia/en/travel/kolkata/anand-gujarat", "12Go Link")</f>
        <v>12Go Link</v>
      </c>
      <c r="E5391" s="3" t="s">
        <v>94</v>
      </c>
      <c r="K5391" s="5"/>
    </row>
    <row r="5392">
      <c r="A5392" s="3" t="s">
        <v>3704</v>
      </c>
      <c r="B5392" s="3" t="s">
        <v>3680</v>
      </c>
      <c r="C5392" s="3" t="s">
        <v>5388</v>
      </c>
      <c r="D5392" s="4" t="str">
        <f>HYPERLINK("https://12go.asia/en/travel/shalimar/anand-jn", "12Go Link")</f>
        <v>12Go Link</v>
      </c>
      <c r="E5392" s="3" t="s">
        <v>94</v>
      </c>
      <c r="K5392" s="5"/>
    </row>
    <row r="5393">
      <c r="A5393" s="3" t="s">
        <v>3704</v>
      </c>
      <c r="B5393" s="3" t="s">
        <v>3617</v>
      </c>
      <c r="C5393" s="3" t="s">
        <v>5389</v>
      </c>
      <c r="D5393" s="4" t="str">
        <f>HYPERLINK("https://12go.asia/en/travel/kolkata/badnera", "12Go Link")</f>
        <v>12Go Link</v>
      </c>
      <c r="E5393" s="3" t="s">
        <v>94</v>
      </c>
      <c r="K5393" s="5"/>
    </row>
    <row r="5394">
      <c r="A5394" s="3" t="s">
        <v>3704</v>
      </c>
      <c r="B5394" s="3" t="s">
        <v>3617</v>
      </c>
      <c r="C5394" s="3" t="s">
        <v>5390</v>
      </c>
      <c r="D5394" s="4" t="str">
        <f>HYPERLINK("https://12go.asia/en/travel/shalimar/badnera-junction", "12Go Link")</f>
        <v>12Go Link</v>
      </c>
      <c r="E5394" s="3" t="s">
        <v>94</v>
      </c>
      <c r="K5394" s="5"/>
    </row>
    <row r="5395">
      <c r="A5395" s="3" t="s">
        <v>3704</v>
      </c>
      <c r="B5395" s="3" t="s">
        <v>3675</v>
      </c>
      <c r="C5395" s="3" t="s">
        <v>5391</v>
      </c>
      <c r="D5395" s="4" t="str">
        <f>HYPERLINK("https://12go.asia/en/travel/kolkata/bareilly", "12Go Link")</f>
        <v>12Go Link</v>
      </c>
      <c r="E5395" s="3" t="s">
        <v>94</v>
      </c>
      <c r="K5395" s="5"/>
    </row>
    <row r="5396">
      <c r="A5396" s="3" t="s">
        <v>3704</v>
      </c>
      <c r="B5396" s="3" t="s">
        <v>3952</v>
      </c>
      <c r="C5396" s="3" t="s">
        <v>5392</v>
      </c>
      <c r="D5396" s="4" t="str">
        <f>HYPERLINK("https://12go.asia/en/travel/kolkata/basti", "12Go Link")</f>
        <v>12Go Link</v>
      </c>
      <c r="E5396" s="3" t="s">
        <v>94</v>
      </c>
      <c r="K5396" s="5"/>
    </row>
    <row r="5397">
      <c r="A5397" s="3" t="s">
        <v>3704</v>
      </c>
      <c r="B5397" s="3" t="s">
        <v>4209</v>
      </c>
      <c r="C5397" s="3" t="s">
        <v>5393</v>
      </c>
      <c r="D5397" s="4" t="str">
        <f>HYPERLINK("https://12go.asia/en/travel/sealdah/danapur", "12Go Link")</f>
        <v>12Go Link</v>
      </c>
      <c r="E5397" s="3" t="s">
        <v>94</v>
      </c>
      <c r="K5397" s="5"/>
    </row>
    <row r="5398">
      <c r="A5398" s="3" t="s">
        <v>3704</v>
      </c>
      <c r="B5398" s="3" t="s">
        <v>4015</v>
      </c>
      <c r="C5398" s="3" t="s">
        <v>5394</v>
      </c>
      <c r="D5398" s="4" t="str">
        <f>HYPERLINK("https://12go.asia/en/travel/kolkata/gandhidham", "12Go Link")</f>
        <v>12Go Link</v>
      </c>
      <c r="E5398" s="3" t="s">
        <v>94</v>
      </c>
      <c r="K5398" s="5"/>
    </row>
    <row r="5399">
      <c r="A5399" s="3" t="s">
        <v>3704</v>
      </c>
      <c r="B5399" s="3" t="s">
        <v>4015</v>
      </c>
      <c r="C5399" s="3" t="s">
        <v>5395</v>
      </c>
      <c r="D5399" s="4" t="str">
        <f>HYPERLINK("https://12go.asia/en/travel/shalimar/gandhidham-bg", "12Go Link")</f>
        <v>12Go Link</v>
      </c>
      <c r="E5399" s="3" t="s">
        <v>94</v>
      </c>
      <c r="K5399" s="5"/>
    </row>
    <row r="5400">
      <c r="A5400" s="3" t="s">
        <v>3704</v>
      </c>
      <c r="B5400" s="3" t="s">
        <v>155</v>
      </c>
      <c r="C5400" s="3" t="s">
        <v>5396</v>
      </c>
      <c r="D5400" s="4" t="str">
        <f>HYPERLINK("https://12go.asia/en/travel/shalimar/adipur", "12Go Link")</f>
        <v>12Go Link</v>
      </c>
      <c r="E5400" s="3" t="s">
        <v>94</v>
      </c>
      <c r="K5400" s="5"/>
    </row>
    <row r="5401">
      <c r="A5401" s="3" t="s">
        <v>3704</v>
      </c>
      <c r="B5401" s="3" t="s">
        <v>3955</v>
      </c>
      <c r="C5401" s="3" t="s">
        <v>5397</v>
      </c>
      <c r="D5401" s="4" t="str">
        <f>HYPERLINK("https://12go.asia/en/travel/kolkata/govindpuri", "12Go Link")</f>
        <v>12Go Link</v>
      </c>
      <c r="E5401" s="3" t="s">
        <v>94</v>
      </c>
      <c r="K5401" s="5"/>
    </row>
    <row r="5402">
      <c r="A5402" s="3" t="s">
        <v>3704</v>
      </c>
      <c r="B5402" s="3" t="s">
        <v>5398</v>
      </c>
      <c r="C5402" s="3" t="s">
        <v>5399</v>
      </c>
      <c r="D5402" s="4" t="str">
        <f>HYPERLINK("https://12go.asia/en/travel/kolkata/kanyakumari", "12Go Link")</f>
        <v>12Go Link</v>
      </c>
      <c r="E5402" s="3" t="s">
        <v>94</v>
      </c>
      <c r="K5402" s="5"/>
    </row>
    <row r="5403">
      <c r="A5403" s="3" t="s">
        <v>3704</v>
      </c>
      <c r="B5403" s="3" t="s">
        <v>4174</v>
      </c>
      <c r="C5403" s="3" t="s">
        <v>5400</v>
      </c>
      <c r="D5403" s="4" t="str">
        <f>HYPERLINK("https://12go.asia/en/travel/kolkata/katihar", "12Go Link")</f>
        <v>12Go Link</v>
      </c>
      <c r="E5403" s="3" t="s">
        <v>94</v>
      </c>
      <c r="K5403" s="5"/>
    </row>
    <row r="5404">
      <c r="A5404" s="3" t="s">
        <v>3704</v>
      </c>
      <c r="B5404" s="3" t="s">
        <v>4174</v>
      </c>
      <c r="C5404" s="3" t="s">
        <v>5401</v>
      </c>
      <c r="D5404" s="4" t="str">
        <f>HYPERLINK("https://12go.asia/en/travel/kolkata/katihar-junction", "12Go Link")</f>
        <v>12Go Link</v>
      </c>
      <c r="E5404" s="3" t="s">
        <v>94</v>
      </c>
      <c r="K5404" s="5"/>
    </row>
    <row r="5405">
      <c r="A5405" s="3" t="s">
        <v>3704</v>
      </c>
      <c r="B5405" s="3" t="s">
        <v>4174</v>
      </c>
      <c r="C5405" s="3" t="s">
        <v>5402</v>
      </c>
      <c r="D5405" s="4" t="str">
        <f>HYPERLINK("https://12go.asia/en/travel/sealdah/katihar-junction", "12Go Link")</f>
        <v>12Go Link</v>
      </c>
      <c r="E5405" s="3" t="s">
        <v>94</v>
      </c>
      <c r="K5405" s="5"/>
    </row>
    <row r="5406">
      <c r="A5406" s="3" t="s">
        <v>3704</v>
      </c>
      <c r="B5406" s="3" t="s">
        <v>4182</v>
      </c>
      <c r="C5406" s="3" t="s">
        <v>5403</v>
      </c>
      <c r="D5406" s="4" t="str">
        <f>HYPERLINK("https://12go.asia/en/travel/santragachi-junction/ernakulam-jn", "12Go Link")</f>
        <v>12Go Link</v>
      </c>
      <c r="E5406" s="3" t="s">
        <v>94</v>
      </c>
      <c r="K5406" s="5"/>
    </row>
    <row r="5407">
      <c r="A5407" s="3" t="s">
        <v>3704</v>
      </c>
      <c r="B5407" s="3" t="s">
        <v>4182</v>
      </c>
      <c r="C5407" s="3" t="s">
        <v>5404</v>
      </c>
      <c r="D5407" s="4" t="str">
        <f>HYPERLINK("https://12go.asia/en/travel/shalimar/ernakulam-town-north", "12Go Link")</f>
        <v>12Go Link</v>
      </c>
      <c r="E5407" s="3" t="s">
        <v>94</v>
      </c>
      <c r="K5407" s="5"/>
    </row>
    <row r="5408">
      <c r="A5408" s="3" t="s">
        <v>3704</v>
      </c>
      <c r="B5408" s="3" t="s">
        <v>5405</v>
      </c>
      <c r="C5408" s="3" t="s">
        <v>5406</v>
      </c>
      <c r="D5408" s="4" t="str">
        <f>HYPERLINK("https://12go.asia/en/travel/kolkata/koraput", "12Go Link")</f>
        <v>12Go Link</v>
      </c>
      <c r="E5408" s="3" t="s">
        <v>94</v>
      </c>
      <c r="K5408" s="5"/>
    </row>
    <row r="5409">
      <c r="A5409" s="3" t="s">
        <v>3704</v>
      </c>
      <c r="B5409" s="3" t="s">
        <v>4934</v>
      </c>
      <c r="C5409" s="3" t="s">
        <v>5407</v>
      </c>
      <c r="D5409" s="4" t="str">
        <f>HYPERLINK("https://12go.asia/en/travel/kolkata/kumardubi", "12Go Link")</f>
        <v>12Go Link</v>
      </c>
      <c r="E5409" s="3" t="s">
        <v>94</v>
      </c>
      <c r="K5409" s="5"/>
    </row>
    <row r="5410">
      <c r="A5410" s="3" t="s">
        <v>3704</v>
      </c>
      <c r="B5410" s="3" t="s">
        <v>5408</v>
      </c>
      <c r="C5410" s="3" t="s">
        <v>5409</v>
      </c>
      <c r="D5410" s="4" t="str">
        <f>HYPERLINK("https://12go.asia/en/travel/sealdah/laheria-sarai", "12Go Link")</f>
        <v>12Go Link</v>
      </c>
      <c r="E5410" s="3" t="s">
        <v>94</v>
      </c>
      <c r="K5410" s="5"/>
    </row>
    <row r="5411">
      <c r="A5411" s="3" t="s">
        <v>3704</v>
      </c>
      <c r="B5411" s="3" t="s">
        <v>4936</v>
      </c>
      <c r="C5411" s="3" t="s">
        <v>5410</v>
      </c>
      <c r="D5411" s="4" t="str">
        <f>HYPERLINK("https://12go.asia/en/travel/kolkata/mecheda", "12Go Link")</f>
        <v>12Go Link</v>
      </c>
      <c r="E5411" s="3" t="s">
        <v>94</v>
      </c>
      <c r="K5411" s="5"/>
    </row>
    <row r="5412">
      <c r="A5412" s="3" t="s">
        <v>3704</v>
      </c>
      <c r="B5412" s="3" t="s">
        <v>4936</v>
      </c>
      <c r="C5412" s="3" t="s">
        <v>5411</v>
      </c>
      <c r="D5412" s="4" t="str">
        <f>HYPERLINK("https://12go.asia/en/travel/shalimar/mecheda", "12Go Link")</f>
        <v>12Go Link</v>
      </c>
      <c r="E5412" s="3" t="s">
        <v>94</v>
      </c>
      <c r="K5412" s="5"/>
    </row>
    <row r="5413">
      <c r="A5413" s="3" t="s">
        <v>3704</v>
      </c>
      <c r="B5413" s="3" t="s">
        <v>3658</v>
      </c>
      <c r="C5413" s="3" t="s">
        <v>5412</v>
      </c>
      <c r="D5413" s="4" t="str">
        <f>HYPERLINK("https://12go.asia/en/travel/kolkata/nagercoil", "12Go Link")</f>
        <v>12Go Link</v>
      </c>
      <c r="E5413" s="3" t="s">
        <v>94</v>
      </c>
      <c r="K5413" s="5"/>
    </row>
    <row r="5414">
      <c r="A5414" s="3" t="s">
        <v>3704</v>
      </c>
      <c r="B5414" s="3" t="s">
        <v>3658</v>
      </c>
      <c r="C5414" s="3" t="s">
        <v>5413</v>
      </c>
      <c r="D5414" s="4" t="str">
        <f>HYPERLINK("https://12go.asia/en/travel/shalimar/nagercoil-jn", "12Go Link")</f>
        <v>12Go Link</v>
      </c>
      <c r="E5414" s="3" t="s">
        <v>94</v>
      </c>
      <c r="K5414" s="5"/>
    </row>
    <row r="5415">
      <c r="A5415" s="3" t="s">
        <v>3704</v>
      </c>
      <c r="B5415" s="3" t="s">
        <v>5414</v>
      </c>
      <c r="C5415" s="3" t="s">
        <v>5415</v>
      </c>
      <c r="D5415" s="4" t="str">
        <f>HYPERLINK("https://12go.asia/en/travel/kolkata/nawada", "12Go Link")</f>
        <v>12Go Link</v>
      </c>
      <c r="E5415" s="3" t="s">
        <v>94</v>
      </c>
      <c r="K5415" s="5"/>
    </row>
    <row r="5416">
      <c r="A5416" s="3" t="s">
        <v>3704</v>
      </c>
      <c r="B5416" s="3" t="s">
        <v>5416</v>
      </c>
      <c r="C5416" s="3" t="s">
        <v>5417</v>
      </c>
      <c r="D5416" s="4" t="str">
        <f>HYPERLINK("https://12go.asia/en/travel/kolkata/pirpainti", "12Go Link")</f>
        <v>12Go Link</v>
      </c>
      <c r="E5416" s="3" t="s">
        <v>94</v>
      </c>
      <c r="K5416" s="5"/>
    </row>
    <row r="5417">
      <c r="A5417" s="3" t="s">
        <v>3704</v>
      </c>
      <c r="B5417" s="3" t="s">
        <v>3752</v>
      </c>
      <c r="C5417" s="3" t="s">
        <v>5418</v>
      </c>
      <c r="D5417" s="4" t="str">
        <f>HYPERLINK("https://12go.asia/en/travel/kolkata/prayagraj", "12Go Link")</f>
        <v>12Go Link</v>
      </c>
      <c r="E5417" s="3" t="s">
        <v>94</v>
      </c>
      <c r="K5417" s="5"/>
    </row>
    <row r="5418">
      <c r="A5418" s="3" t="s">
        <v>3704</v>
      </c>
      <c r="B5418" s="3" t="s">
        <v>4229</v>
      </c>
      <c r="C5418" s="3" t="s">
        <v>5419</v>
      </c>
      <c r="D5418" s="4" t="str">
        <f>HYPERLINK("https://12go.asia/en/travel/kolkata/raigarh", "12Go Link")</f>
        <v>12Go Link</v>
      </c>
      <c r="E5418" s="3" t="s">
        <v>94</v>
      </c>
      <c r="K5418" s="5"/>
    </row>
    <row r="5419">
      <c r="A5419" s="3" t="s">
        <v>3704</v>
      </c>
      <c r="B5419" s="3" t="s">
        <v>4229</v>
      </c>
      <c r="C5419" s="3" t="s">
        <v>5420</v>
      </c>
      <c r="D5419" s="4" t="str">
        <f>HYPERLINK("https://12go.asia/en/travel/shalimar/raigarh", "12Go Link")</f>
        <v>12Go Link</v>
      </c>
      <c r="E5419" s="3" t="s">
        <v>94</v>
      </c>
      <c r="K5419" s="5"/>
    </row>
    <row r="5420">
      <c r="A5420" s="3" t="s">
        <v>3704</v>
      </c>
      <c r="B5420" s="3" t="s">
        <v>4216</v>
      </c>
      <c r="C5420" s="3" t="s">
        <v>5421</v>
      </c>
      <c r="D5420" s="4" t="str">
        <f>HYPERLINK("https://12go.asia/en/travel/kolkata/roorkee", "12Go Link")</f>
        <v>12Go Link</v>
      </c>
      <c r="E5420" s="3" t="s">
        <v>94</v>
      </c>
      <c r="K5420" s="5"/>
    </row>
    <row r="5421">
      <c r="A5421" s="3" t="s">
        <v>3704</v>
      </c>
      <c r="B5421" s="3" t="s">
        <v>4198</v>
      </c>
      <c r="C5421" s="3" t="s">
        <v>5422</v>
      </c>
      <c r="D5421" s="4" t="str">
        <f>HYPERLINK("https://12go.asia/en/travel/kolkata/siwan-junction", "12Go Link")</f>
        <v>12Go Link</v>
      </c>
      <c r="E5421" s="3" t="s">
        <v>94</v>
      </c>
      <c r="K5421" s="5"/>
    </row>
    <row r="5422">
      <c r="A5422" s="3" t="s">
        <v>3704</v>
      </c>
      <c r="B5422" s="3" t="s">
        <v>3694</v>
      </c>
      <c r="C5422" s="3" t="s">
        <v>5423</v>
      </c>
      <c r="D5422" s="4" t="str">
        <f>HYPERLINK("https://12go.asia/en/travel/kolkata/tiruchirappalli", "12Go Link")</f>
        <v>12Go Link</v>
      </c>
      <c r="E5422" s="3" t="s">
        <v>94</v>
      </c>
      <c r="K5422" s="5"/>
    </row>
    <row r="5423">
      <c r="A5423" s="3" t="s">
        <v>3704</v>
      </c>
      <c r="B5423" s="3" t="s">
        <v>3694</v>
      </c>
      <c r="C5423" s="3" t="s">
        <v>5424</v>
      </c>
      <c r="D5423" s="4" t="str">
        <f>HYPERLINK("https://12go.asia/en/travel/shalimar/tiruchchirappalli-junction", "12Go Link")</f>
        <v>12Go Link</v>
      </c>
      <c r="E5423" s="3" t="s">
        <v>94</v>
      </c>
      <c r="K5423" s="5"/>
    </row>
    <row r="5424">
      <c r="A5424" s="3" t="s">
        <v>3704</v>
      </c>
      <c r="B5424" s="3" t="s">
        <v>3666</v>
      </c>
      <c r="C5424" s="3" t="s">
        <v>5425</v>
      </c>
      <c r="D5424" s="4" t="str">
        <f>HYPERLINK("https://12go.asia/en/travel/sealdah/banaras", "12Go Link")</f>
        <v>12Go Link</v>
      </c>
      <c r="E5424" s="3" t="s">
        <v>94</v>
      </c>
      <c r="K5424" s="5"/>
    </row>
    <row r="5425">
      <c r="A5425" s="3" t="s">
        <v>3704</v>
      </c>
      <c r="B5425" s="3" t="s">
        <v>4650</v>
      </c>
      <c r="C5425" s="3" t="s">
        <v>5426</v>
      </c>
      <c r="D5425" s="4" t="str">
        <f>HYPERLINK("https://12go.asia/en/travel/kolkata/villupuram", "12Go Link")</f>
        <v>12Go Link</v>
      </c>
      <c r="E5425" s="3" t="s">
        <v>94</v>
      </c>
      <c r="K5425" s="5"/>
    </row>
    <row r="5426">
      <c r="A5426" s="3" t="s">
        <v>5427</v>
      </c>
      <c r="B5426" s="3" t="s">
        <v>165</v>
      </c>
      <c r="C5426" s="3" t="s">
        <v>5428</v>
      </c>
      <c r="D5426" s="4" t="str">
        <f>HYPERLINK("https://12go.asia/en/travel/kollam/margao", "12Go Link")</f>
        <v>12Go Link</v>
      </c>
      <c r="E5426" s="3" t="s">
        <v>94</v>
      </c>
      <c r="K5426" s="5"/>
    </row>
    <row r="5427">
      <c r="A5427" s="3" t="s">
        <v>5427</v>
      </c>
      <c r="B5427" s="3" t="s">
        <v>3970</v>
      </c>
      <c r="C5427" s="3" t="s">
        <v>5429</v>
      </c>
      <c r="D5427" s="4" t="str">
        <f>HYPERLINK("https://12go.asia/en/travel/kollam/navi-mumbai", "12Go Link")</f>
        <v>12Go Link</v>
      </c>
      <c r="E5427" s="3" t="s">
        <v>94</v>
      </c>
      <c r="K5427" s="5"/>
    </row>
    <row r="5428">
      <c r="A5428" s="3" t="s">
        <v>5427</v>
      </c>
      <c r="B5428" s="3" t="s">
        <v>5430</v>
      </c>
      <c r="C5428" s="3" t="s">
        <v>5431</v>
      </c>
      <c r="D5428" s="4" t="str">
        <f>HYPERLINK("https://12go.asia/en/travel/kollam/palani", "12Go Link")</f>
        <v>12Go Link</v>
      </c>
      <c r="E5428" s="3" t="s">
        <v>94</v>
      </c>
      <c r="K5428" s="5"/>
    </row>
    <row r="5429">
      <c r="A5429" s="3" t="s">
        <v>5427</v>
      </c>
      <c r="B5429" s="3" t="s">
        <v>186</v>
      </c>
      <c r="C5429" s="3" t="s">
        <v>5432</v>
      </c>
      <c r="D5429" s="4" t="str">
        <f>HYPERLINK("https://12go.asia/en/travel/kollam/vadodara", "12Go Link")</f>
        <v>12Go Link</v>
      </c>
      <c r="E5429" s="3" t="s">
        <v>94</v>
      </c>
      <c r="K5429" s="5"/>
    </row>
    <row r="5430">
      <c r="A5430" s="3" t="s">
        <v>3599</v>
      </c>
      <c r="B5430" s="3" t="s">
        <v>5433</v>
      </c>
      <c r="C5430" s="3" t="s">
        <v>5434</v>
      </c>
      <c r="D5430" s="4" t="str">
        <f>HYPERLINK("https://12go.asia/en/travel/kopargaon/raichur", "12Go Link")</f>
        <v>12Go Link</v>
      </c>
      <c r="E5430" s="3" t="s">
        <v>94</v>
      </c>
      <c r="K5430" s="5"/>
    </row>
    <row r="5431">
      <c r="A5431" s="3" t="s">
        <v>3599</v>
      </c>
      <c r="B5431" s="3" t="s">
        <v>4133</v>
      </c>
      <c r="C5431" s="3" t="s">
        <v>5435</v>
      </c>
      <c r="D5431" s="4" t="str">
        <f>HYPERLINK("https://12go.asia/en/travel/kopargaon/sevagram", "12Go Link")</f>
        <v>12Go Link</v>
      </c>
      <c r="E5431" s="3" t="s">
        <v>94</v>
      </c>
      <c r="K5431" s="5"/>
    </row>
    <row r="5432">
      <c r="A5432" s="3" t="s">
        <v>3599</v>
      </c>
      <c r="B5432" s="3" t="s">
        <v>4135</v>
      </c>
      <c r="C5432" s="3" t="s">
        <v>5436</v>
      </c>
      <c r="D5432" s="4" t="str">
        <f>HYPERLINK("https://12go.asia/en/travel/kopargaon/wardha", "12Go Link")</f>
        <v>12Go Link</v>
      </c>
      <c r="E5432" s="3" t="s">
        <v>94</v>
      </c>
      <c r="K5432" s="5"/>
    </row>
    <row r="5433">
      <c r="A5433" s="3" t="s">
        <v>3599</v>
      </c>
      <c r="B5433" s="3" t="s">
        <v>4135</v>
      </c>
      <c r="C5433" s="3" t="s">
        <v>5437</v>
      </c>
      <c r="D5433" s="4" t="str">
        <f>HYPERLINK("https://12go.asia/en/travel/kopargaon/wardha-junction", "12Go Link")</f>
        <v>12Go Link</v>
      </c>
      <c r="E5433" s="3" t="s">
        <v>94</v>
      </c>
      <c r="K5433" s="5"/>
    </row>
    <row r="5434">
      <c r="A5434" s="3" t="s">
        <v>4885</v>
      </c>
      <c r="B5434" s="3" t="s">
        <v>3805</v>
      </c>
      <c r="C5434" s="3" t="s">
        <v>5438</v>
      </c>
      <c r="D5434" s="4" t="str">
        <f>HYPERLINK("https://12go.asia/en/travel/kosi-kalan/jhansi", "12Go Link")</f>
        <v>12Go Link</v>
      </c>
      <c r="E5434" s="3" t="s">
        <v>94</v>
      </c>
      <c r="K5434" s="5"/>
    </row>
    <row r="5435">
      <c r="A5435" s="3" t="s">
        <v>4885</v>
      </c>
      <c r="B5435" s="3" t="s">
        <v>3805</v>
      </c>
      <c r="C5435" s="3" t="s">
        <v>5439</v>
      </c>
      <c r="D5435" s="4" t="str">
        <f>HYPERLINK("https://12go.asia/en/travel/kosi-kalan/virangana-lakshmibai", "12Go Link")</f>
        <v>12Go Link</v>
      </c>
      <c r="E5435" s="3" t="s">
        <v>94</v>
      </c>
      <c r="K5435" s="5"/>
    </row>
    <row r="5436">
      <c r="A5436" s="3" t="s">
        <v>4567</v>
      </c>
      <c r="B5436" s="3" t="s">
        <v>4951</v>
      </c>
      <c r="C5436" s="3" t="s">
        <v>5440</v>
      </c>
      <c r="D5436" s="4" t="str">
        <f>HYPERLINK("https://12go.asia/en/travel/sogaria/jodhpur-jn", "12Go Link")</f>
        <v>12Go Link</v>
      </c>
      <c r="E5436" s="3" t="s">
        <v>94</v>
      </c>
      <c r="K5436" s="5"/>
    </row>
    <row r="5437">
      <c r="A5437" s="3" t="s">
        <v>4567</v>
      </c>
      <c r="B5437" s="3" t="s">
        <v>4077</v>
      </c>
      <c r="C5437" s="3" t="s">
        <v>5441</v>
      </c>
      <c r="D5437" s="4" t="str">
        <f>HYPERLINK("https://12go.asia/en/travel/kota-jn/saugor", "12Go Link")</f>
        <v>12Go Link</v>
      </c>
      <c r="E5437" s="3" t="s">
        <v>94</v>
      </c>
      <c r="K5437" s="5"/>
    </row>
    <row r="5438">
      <c r="A5438" s="3" t="s">
        <v>3732</v>
      </c>
      <c r="B5438" s="3" t="s">
        <v>3678</v>
      </c>
      <c r="C5438" s="3" t="s">
        <v>5442</v>
      </c>
      <c r="D5438" s="4" t="str">
        <f>HYPERLINK("https://12go.asia/en/travel/kothapatnam/lingampalli", "12Go Link")</f>
        <v>12Go Link</v>
      </c>
      <c r="E5438" s="3" t="s">
        <v>94</v>
      </c>
      <c r="K5438" s="5"/>
    </row>
    <row r="5439">
      <c r="A5439" s="3" t="s">
        <v>3732</v>
      </c>
      <c r="B5439" s="3" t="s">
        <v>4030</v>
      </c>
      <c r="C5439" s="3" t="s">
        <v>5443</v>
      </c>
      <c r="D5439" s="4" t="str">
        <f>HYPERLINK("https://12go.asia/en/travel/kothapatnam/visakhapatnam", "12Go Link")</f>
        <v>12Go Link</v>
      </c>
      <c r="E5439" s="3" t="s">
        <v>94</v>
      </c>
      <c r="K5439" s="5"/>
    </row>
    <row r="5440">
      <c r="A5440" s="3" t="s">
        <v>4322</v>
      </c>
      <c r="B5440" s="3" t="s">
        <v>3715</v>
      </c>
      <c r="C5440" s="3" t="s">
        <v>5444</v>
      </c>
      <c r="D5440" s="4" t="str">
        <f>HYPERLINK("https://12go.asia/en/travel/kottayam/perambur", "12Go Link")</f>
        <v>12Go Link</v>
      </c>
      <c r="E5440" s="3" t="s">
        <v>94</v>
      </c>
      <c r="K5440" s="5"/>
    </row>
    <row r="5441">
      <c r="A5441" s="3" t="s">
        <v>4643</v>
      </c>
      <c r="B5441" s="3" t="s">
        <v>3773</v>
      </c>
      <c r="C5441" s="3" t="s">
        <v>5445</v>
      </c>
      <c r="D5441" s="4" t="str">
        <f>HYPERLINK("https://12go.asia/en/travel/kovilpatti/tambaram", "12Go Link")</f>
        <v>12Go Link</v>
      </c>
      <c r="E5441" s="3" t="s">
        <v>94</v>
      </c>
      <c r="K5441" s="5"/>
    </row>
    <row r="5442">
      <c r="A5442" s="3" t="s">
        <v>5446</v>
      </c>
      <c r="B5442" s="3" t="s">
        <v>3784</v>
      </c>
      <c r="C5442" s="3" t="s">
        <v>5447</v>
      </c>
      <c r="D5442" s="4" t="str">
        <f>HYPERLINK("https://12go.asia/en/travel/kozhikode/angamali", "12Go Link")</f>
        <v>12Go Link</v>
      </c>
      <c r="E5442" s="3" t="s">
        <v>94</v>
      </c>
      <c r="K5442" s="5"/>
    </row>
    <row r="5443">
      <c r="A5443" s="3" t="s">
        <v>5446</v>
      </c>
      <c r="B5443" s="3" t="s">
        <v>3773</v>
      </c>
      <c r="C5443" s="3" t="s">
        <v>5448</v>
      </c>
      <c r="D5443" s="4" t="str">
        <f>HYPERLINK("https://12go.asia/en/travel/kozhikode/tambaram", "12Go Link")</f>
        <v>12Go Link</v>
      </c>
      <c r="E5443" s="3" t="s">
        <v>94</v>
      </c>
      <c r="K5443" s="5"/>
    </row>
    <row r="5444">
      <c r="A5444" s="3" t="s">
        <v>5197</v>
      </c>
      <c r="B5444" s="3" t="s">
        <v>4539</v>
      </c>
      <c r="C5444" s="3" t="s">
        <v>5449</v>
      </c>
      <c r="D5444" s="4" t="str">
        <f>HYPERLINK("https://12go.asia/en/travel/kumta/ratnagiri", "12Go Link")</f>
        <v>12Go Link</v>
      </c>
      <c r="E5444" s="3" t="s">
        <v>94</v>
      </c>
      <c r="K5444" s="5"/>
    </row>
    <row r="5445">
      <c r="A5445" s="3" t="s">
        <v>5199</v>
      </c>
      <c r="B5445" s="3" t="s">
        <v>3644</v>
      </c>
      <c r="C5445" s="3" t="s">
        <v>5450</v>
      </c>
      <c r="D5445" s="4" t="str">
        <f>HYPERLINK("https://12go.asia/en/travel/kundapura/mangalore-jn", "12Go Link")</f>
        <v>12Go Link</v>
      </c>
      <c r="E5445" s="3" t="s">
        <v>94</v>
      </c>
      <c r="K5445" s="5"/>
    </row>
    <row r="5446">
      <c r="A5446" s="3" t="s">
        <v>5199</v>
      </c>
      <c r="B5446" s="3" t="s">
        <v>3644</v>
      </c>
      <c r="C5446" s="3" t="s">
        <v>5451</v>
      </c>
      <c r="D5446" s="4" t="str">
        <f>HYPERLINK("https://12go.asia/en/travel/kundapur/mangalore", "12Go Link")</f>
        <v>12Go Link</v>
      </c>
      <c r="E5446" s="3" t="s">
        <v>94</v>
      </c>
      <c r="K5446" s="5"/>
    </row>
    <row r="5447">
      <c r="A5447" s="3" t="s">
        <v>3678</v>
      </c>
      <c r="B5447" s="3" t="s">
        <v>3710</v>
      </c>
      <c r="C5447" s="3" t="s">
        <v>5452</v>
      </c>
      <c r="D5447" s="4" t="str">
        <f>HYPERLINK("https://12go.asia/en/travel/lingampalli/andhra-pradesh", "12Go Link")</f>
        <v>12Go Link</v>
      </c>
      <c r="E5447" s="3" t="s">
        <v>94</v>
      </c>
      <c r="K5447" s="5"/>
    </row>
    <row r="5448">
      <c r="A5448" s="3" t="s">
        <v>3678</v>
      </c>
      <c r="B5448" s="3" t="s">
        <v>4814</v>
      </c>
      <c r="C5448" s="3" t="s">
        <v>5453</v>
      </c>
      <c r="D5448" s="4" t="str">
        <f>HYPERLINK("https://12go.asia/en/travel/lingampalli/annavaram", "12Go Link")</f>
        <v>12Go Link</v>
      </c>
      <c r="E5448" s="3" t="s">
        <v>94</v>
      </c>
      <c r="K5448" s="5"/>
    </row>
    <row r="5449">
      <c r="A5449" s="3" t="s">
        <v>3678</v>
      </c>
      <c r="B5449" s="3" t="s">
        <v>3931</v>
      </c>
      <c r="C5449" s="3" t="s">
        <v>5454</v>
      </c>
      <c r="D5449" s="4" t="str">
        <f>HYPERLINK("https://12go.asia/en/travel/lingampalli/bapatla", "12Go Link")</f>
        <v>12Go Link</v>
      </c>
      <c r="E5449" s="3" t="s">
        <v>94</v>
      </c>
      <c r="K5449" s="5"/>
    </row>
    <row r="5450">
      <c r="A5450" s="3" t="s">
        <v>3678</v>
      </c>
      <c r="B5450" s="3" t="s">
        <v>4045</v>
      </c>
      <c r="C5450" s="3" t="s">
        <v>5455</v>
      </c>
      <c r="D5450" s="4" t="str">
        <f>HYPERLINK("https://12go.asia/en/travel/lingampalli/bhimavaram", "12Go Link")</f>
        <v>12Go Link</v>
      </c>
      <c r="E5450" s="3" t="s">
        <v>94</v>
      </c>
      <c r="K5450" s="5"/>
    </row>
    <row r="5451">
      <c r="A5451" s="3" t="s">
        <v>3678</v>
      </c>
      <c r="B5451" s="3" t="s">
        <v>4045</v>
      </c>
      <c r="C5451" s="3" t="s">
        <v>5456</v>
      </c>
      <c r="D5451" s="4" t="str">
        <f>HYPERLINK("https://12go.asia/en/travel/lingampalli/bhimavaram-junction", "12Go Link")</f>
        <v>12Go Link</v>
      </c>
      <c r="E5451" s="3" t="s">
        <v>94</v>
      </c>
      <c r="K5451" s="5"/>
    </row>
    <row r="5452">
      <c r="A5452" s="3" t="s">
        <v>3678</v>
      </c>
      <c r="B5452" s="3" t="s">
        <v>4045</v>
      </c>
      <c r="C5452" s="3" t="s">
        <v>5457</v>
      </c>
      <c r="D5452" s="4" t="str">
        <f>HYPERLINK("https://12go.asia/en/travel/lingampalli/bhimavaram-town", "12Go Link")</f>
        <v>12Go Link</v>
      </c>
      <c r="E5452" s="3" t="s">
        <v>94</v>
      </c>
      <c r="K5452" s="5"/>
    </row>
    <row r="5453">
      <c r="A5453" s="3" t="s">
        <v>3678</v>
      </c>
      <c r="B5453" s="3" t="s">
        <v>3866</v>
      </c>
      <c r="C5453" s="3" t="s">
        <v>5458</v>
      </c>
      <c r="D5453" s="4" t="str">
        <f>HYPERLINK("https://12go.asia/en/travel/lingampalli/brahmapur", "12Go Link")</f>
        <v>12Go Link</v>
      </c>
      <c r="E5453" s="3" t="s">
        <v>94</v>
      </c>
      <c r="K5453" s="5"/>
    </row>
    <row r="5454">
      <c r="A5454" s="3" t="s">
        <v>3678</v>
      </c>
      <c r="B5454" s="3" t="s">
        <v>3721</v>
      </c>
      <c r="C5454" s="3" t="s">
        <v>5459</v>
      </c>
      <c r="D5454" s="4" t="str">
        <f>HYPERLINK("https://12go.asia/en/travel/lingampalli/eluru", "12Go Link")</f>
        <v>12Go Link</v>
      </c>
      <c r="E5454" s="3" t="s">
        <v>94</v>
      </c>
      <c r="K5454" s="5"/>
    </row>
    <row r="5455">
      <c r="A5455" s="3" t="s">
        <v>3678</v>
      </c>
      <c r="B5455" s="3" t="s">
        <v>4949</v>
      </c>
      <c r="C5455" s="3" t="s">
        <v>5460</v>
      </c>
      <c r="D5455" s="4" t="str">
        <f>HYPERLINK("https://12go.asia/en/travel/lingampalli/jalna", "12Go Link")</f>
        <v>12Go Link</v>
      </c>
      <c r="E5455" s="3" t="s">
        <v>94</v>
      </c>
      <c r="K5455" s="5"/>
    </row>
    <row r="5456">
      <c r="A5456" s="3" t="s">
        <v>3678</v>
      </c>
      <c r="B5456" s="3" t="s">
        <v>4172</v>
      </c>
      <c r="C5456" s="3" t="s">
        <v>5461</v>
      </c>
      <c r="D5456" s="4" t="str">
        <f>HYPERLINK("https://12go.asia/en/travel/lingampalli/karnataka", "12Go Link")</f>
        <v>12Go Link</v>
      </c>
      <c r="E5456" s="3" t="s">
        <v>94</v>
      </c>
      <c r="K5456" s="5"/>
    </row>
    <row r="5457">
      <c r="A5457" s="3" t="s">
        <v>3678</v>
      </c>
      <c r="B5457" s="3" t="s">
        <v>5462</v>
      </c>
      <c r="C5457" s="3" t="s">
        <v>5463</v>
      </c>
      <c r="D5457" s="4" t="str">
        <f>HYPERLINK("https://12go.asia/en/travel/lingampalli/kasibugga", "12Go Link")</f>
        <v>12Go Link</v>
      </c>
      <c r="E5457" s="3" t="s">
        <v>94</v>
      </c>
      <c r="K5457" s="5"/>
    </row>
    <row r="5458">
      <c r="A5458" s="3" t="s">
        <v>3678</v>
      </c>
      <c r="B5458" s="3" t="s">
        <v>4959</v>
      </c>
      <c r="C5458" s="3" t="s">
        <v>5464</v>
      </c>
      <c r="D5458" s="4" t="str">
        <f>HYPERLINK("https://12go.asia/en/travel/lingampalli/khammam", "12Go Link")</f>
        <v>12Go Link</v>
      </c>
      <c r="E5458" s="3" t="s">
        <v>94</v>
      </c>
      <c r="K5458" s="5"/>
    </row>
    <row r="5459">
      <c r="A5459" s="3" t="s">
        <v>3678</v>
      </c>
      <c r="B5459" s="3" t="s">
        <v>3732</v>
      </c>
      <c r="C5459" s="3" t="s">
        <v>5465</v>
      </c>
      <c r="D5459" s="4" t="str">
        <f>HYPERLINK("https://12go.asia/en/travel/lingampalli/kothapatnam", "12Go Link")</f>
        <v>12Go Link</v>
      </c>
      <c r="E5459" s="3" t="s">
        <v>94</v>
      </c>
      <c r="K5459" s="5"/>
    </row>
    <row r="5460">
      <c r="A5460" s="3" t="s">
        <v>3678</v>
      </c>
      <c r="B5460" s="3" t="s">
        <v>160</v>
      </c>
      <c r="C5460" s="3" t="s">
        <v>5466</v>
      </c>
      <c r="D5460" s="4" t="str">
        <f>HYPERLINK("https://12go.asia/en/travel/lingampalli/kurnool", "12Go Link")</f>
        <v>12Go Link</v>
      </c>
      <c r="E5460" s="3" t="s">
        <v>94</v>
      </c>
      <c r="K5460" s="5"/>
    </row>
    <row r="5461">
      <c r="A5461" s="3" t="s">
        <v>3678</v>
      </c>
      <c r="B5461" s="3" t="s">
        <v>160</v>
      </c>
      <c r="C5461" s="3" t="s">
        <v>5467</v>
      </c>
      <c r="D5461" s="4" t="str">
        <f>HYPERLINK("https://12go.asia/en/travel/lingampalli/kurnool-town", "12Go Link")</f>
        <v>12Go Link</v>
      </c>
      <c r="E5461" s="3" t="s">
        <v>94</v>
      </c>
      <c r="K5461" s="5"/>
    </row>
    <row r="5462">
      <c r="A5462" s="3" t="s">
        <v>3678</v>
      </c>
      <c r="B5462" s="3" t="s">
        <v>3734</v>
      </c>
      <c r="C5462" s="3" t="s">
        <v>5468</v>
      </c>
      <c r="D5462" s="4" t="str">
        <f>HYPERLINK("https://12go.asia/en/travel/lingampalli/lonavala", "12Go Link")</f>
        <v>12Go Link</v>
      </c>
      <c r="E5462" s="3" t="s">
        <v>94</v>
      </c>
      <c r="K5462" s="5"/>
    </row>
    <row r="5463">
      <c r="A5463" s="3" t="s">
        <v>3678</v>
      </c>
      <c r="B5463" s="3" t="s">
        <v>3736</v>
      </c>
      <c r="C5463" s="3" t="s">
        <v>5469</v>
      </c>
      <c r="D5463" s="4" t="str">
        <f>HYPERLINK("https://12go.asia/en/travel/lingampalli/machelipatnam", "12Go Link")</f>
        <v>12Go Link</v>
      </c>
      <c r="E5463" s="3" t="s">
        <v>94</v>
      </c>
      <c r="K5463" s="5"/>
    </row>
    <row r="5464">
      <c r="A5464" s="3" t="s">
        <v>3678</v>
      </c>
      <c r="B5464" s="3" t="s">
        <v>3736</v>
      </c>
      <c r="C5464" s="3" t="s">
        <v>5470</v>
      </c>
      <c r="D5464" s="4" t="str">
        <f>HYPERLINK("https://12go.asia/en/travel/lingampalli/machilipatnam", "12Go Link")</f>
        <v>12Go Link</v>
      </c>
      <c r="E5464" s="3" t="s">
        <v>94</v>
      </c>
      <c r="K5464" s="5"/>
    </row>
    <row r="5465">
      <c r="A5465" s="3" t="s">
        <v>3678</v>
      </c>
      <c r="B5465" s="3" t="s">
        <v>163</v>
      </c>
      <c r="C5465" s="3" t="s">
        <v>5471</v>
      </c>
      <c r="D5465" s="4" t="str">
        <f>HYPERLINK("https://12go.asia/en/travel/lingampalli/maharashtra", "12Go Link")</f>
        <v>12Go Link</v>
      </c>
      <c r="E5465" s="3" t="s">
        <v>94</v>
      </c>
      <c r="K5465" s="5"/>
    </row>
    <row r="5466">
      <c r="A5466" s="3" t="s">
        <v>3678</v>
      </c>
      <c r="B5466" s="3" t="s">
        <v>3834</v>
      </c>
      <c r="C5466" s="3" t="s">
        <v>5472</v>
      </c>
      <c r="D5466" s="4" t="str">
        <f>HYPERLINK("https://12go.asia/en/travel/lingampalli/manmad", "12Go Link")</f>
        <v>12Go Link</v>
      </c>
      <c r="E5466" s="3" t="s">
        <v>94</v>
      </c>
      <c r="K5466" s="5"/>
    </row>
    <row r="5467">
      <c r="A5467" s="3" t="s">
        <v>3678</v>
      </c>
      <c r="B5467" s="3" t="s">
        <v>3834</v>
      </c>
      <c r="C5467" s="3" t="s">
        <v>5473</v>
      </c>
      <c r="D5467" s="4" t="str">
        <f>HYPERLINK("https://12go.asia/en/travel/lingampalli/manmad-junction", "12Go Link")</f>
        <v>12Go Link</v>
      </c>
      <c r="E5467" s="3" t="s">
        <v>94</v>
      </c>
      <c r="K5467" s="5"/>
    </row>
    <row r="5468">
      <c r="A5468" s="3" t="s">
        <v>3678</v>
      </c>
      <c r="B5468" s="3" t="s">
        <v>5474</v>
      </c>
      <c r="C5468" s="3" t="s">
        <v>5475</v>
      </c>
      <c r="D5468" s="4" t="str">
        <f>HYPERLINK("https://12go.asia/en/travel/lingampalli/miryalaguda", "12Go Link")</f>
        <v>12Go Link</v>
      </c>
      <c r="E5468" s="3" t="s">
        <v>94</v>
      </c>
      <c r="K5468" s="5"/>
    </row>
    <row r="5469">
      <c r="A5469" s="3" t="s">
        <v>3678</v>
      </c>
      <c r="B5469" s="3" t="s">
        <v>3914</v>
      </c>
      <c r="C5469" s="3" t="s">
        <v>5476</v>
      </c>
      <c r="D5469" s="4" t="str">
        <f>HYPERLINK("https://12go.asia/en/travel/lingampalli/nanded", "12Go Link")</f>
        <v>12Go Link</v>
      </c>
      <c r="E5469" s="3" t="s">
        <v>94</v>
      </c>
      <c r="K5469" s="5"/>
    </row>
    <row r="5470">
      <c r="A5470" s="3" t="s">
        <v>3678</v>
      </c>
      <c r="B5470" s="3" t="s">
        <v>5477</v>
      </c>
      <c r="C5470" s="3" t="s">
        <v>5478</v>
      </c>
      <c r="D5470" s="4" t="str">
        <f>HYPERLINK("https://12go.asia/en/travel/lingampalli/nandyal", "12Go Link")</f>
        <v>12Go Link</v>
      </c>
      <c r="E5470" s="3" t="s">
        <v>94</v>
      </c>
      <c r="K5470" s="5"/>
    </row>
    <row r="5471">
      <c r="A5471" s="3" t="s">
        <v>3678</v>
      </c>
      <c r="B5471" s="3" t="s">
        <v>4965</v>
      </c>
      <c r="C5471" s="3" t="s">
        <v>5479</v>
      </c>
      <c r="D5471" s="4" t="str">
        <f>HYPERLINK("https://12go.asia/en/travel/lingampalli/narasapur", "12Go Link")</f>
        <v>12Go Link</v>
      </c>
      <c r="E5471" s="3" t="s">
        <v>94</v>
      </c>
      <c r="K5471" s="5"/>
    </row>
    <row r="5472">
      <c r="A5472" s="3" t="s">
        <v>3678</v>
      </c>
      <c r="B5472" s="3" t="s">
        <v>4965</v>
      </c>
      <c r="C5472" s="3" t="s">
        <v>5480</v>
      </c>
      <c r="D5472" s="4" t="str">
        <f>HYPERLINK("https://12go.asia/en/travel/lingampalli/narasapuram", "12Go Link")</f>
        <v>12Go Link</v>
      </c>
      <c r="E5472" s="3" t="s">
        <v>94</v>
      </c>
      <c r="K5472" s="5"/>
    </row>
    <row r="5473">
      <c r="A5473" s="3" t="s">
        <v>3678</v>
      </c>
      <c r="B5473" s="3" t="s">
        <v>4407</v>
      </c>
      <c r="C5473" s="3" t="s">
        <v>5481</v>
      </c>
      <c r="D5473" s="4" t="str">
        <f>HYPERLINK("https://12go.asia/en/travel/lingampalli/nashik", "12Go Link")</f>
        <v>12Go Link</v>
      </c>
      <c r="E5473" s="3" t="s">
        <v>94</v>
      </c>
      <c r="K5473" s="5"/>
    </row>
    <row r="5474">
      <c r="A5474" s="3" t="s">
        <v>3678</v>
      </c>
      <c r="B5474" s="3" t="s">
        <v>4407</v>
      </c>
      <c r="C5474" s="3" t="s">
        <v>5482</v>
      </c>
      <c r="D5474" s="4" t="str">
        <f>HYPERLINK("https://12go.asia/en/travel/lingampalli/nasik-road", "12Go Link")</f>
        <v>12Go Link</v>
      </c>
      <c r="E5474" s="3" t="s">
        <v>94</v>
      </c>
      <c r="K5474" s="5"/>
    </row>
    <row r="5475">
      <c r="A5475" s="3" t="s">
        <v>3678</v>
      </c>
      <c r="B5475" s="3" t="s">
        <v>3970</v>
      </c>
      <c r="C5475" s="3" t="s">
        <v>5483</v>
      </c>
      <c r="D5475" s="4" t="str">
        <f>HYPERLINK("https://12go.asia/en/travel/lingampalli/navi-mumbai", "12Go Link")</f>
        <v>12Go Link</v>
      </c>
      <c r="E5475" s="3" t="s">
        <v>94</v>
      </c>
      <c r="K5475" s="5"/>
    </row>
    <row r="5476">
      <c r="A5476" s="3" t="s">
        <v>3678</v>
      </c>
      <c r="B5476" s="3" t="s">
        <v>5484</v>
      </c>
      <c r="C5476" s="3" t="s">
        <v>5485</v>
      </c>
      <c r="D5476" s="4" t="str">
        <f>HYPERLINK("https://12go.asia/en/travel/lingampalli/nizamabad", "12Go Link")</f>
        <v>12Go Link</v>
      </c>
      <c r="E5476" s="3" t="s">
        <v>94</v>
      </c>
      <c r="K5476" s="5"/>
    </row>
    <row r="5477">
      <c r="A5477" s="3" t="s">
        <v>3678</v>
      </c>
      <c r="B5477" s="3" t="s">
        <v>3746</v>
      </c>
      <c r="C5477" s="3" t="s">
        <v>5486</v>
      </c>
      <c r="D5477" s="4" t="str">
        <f>HYPERLINK("https://12go.asia/en/travel/lingampalli/ongole", "12Go Link")</f>
        <v>12Go Link</v>
      </c>
      <c r="E5477" s="3" t="s">
        <v>94</v>
      </c>
      <c r="K5477" s="5"/>
    </row>
    <row r="5478">
      <c r="A5478" s="3" t="s">
        <v>3678</v>
      </c>
      <c r="B5478" s="3" t="s">
        <v>5487</v>
      </c>
      <c r="C5478" s="3" t="s">
        <v>5488</v>
      </c>
      <c r="D5478" s="4" t="str">
        <f>HYPERLINK("https://12go.asia/en/travel/lingampalli/palakollu", "12Go Link")</f>
        <v>12Go Link</v>
      </c>
      <c r="E5478" s="3" t="s">
        <v>94</v>
      </c>
      <c r="K5478" s="5"/>
    </row>
    <row r="5479">
      <c r="A5479" s="3" t="s">
        <v>3678</v>
      </c>
      <c r="B5479" s="3" t="s">
        <v>4968</v>
      </c>
      <c r="C5479" s="3" t="s">
        <v>5489</v>
      </c>
      <c r="D5479" s="4" t="str">
        <f>HYPERLINK("https://12go.asia/en/travel/lingampalli/palasa", "12Go Link")</f>
        <v>12Go Link</v>
      </c>
      <c r="E5479" s="3" t="s">
        <v>94</v>
      </c>
      <c r="K5479" s="5"/>
    </row>
    <row r="5480">
      <c r="A5480" s="3" t="s">
        <v>3678</v>
      </c>
      <c r="B5480" s="3" t="s">
        <v>4971</v>
      </c>
      <c r="C5480" s="3" t="s">
        <v>5490</v>
      </c>
      <c r="D5480" s="4" t="str">
        <f>HYPERLINK("https://12go.asia/en/travel/lingampalli/parbhani", "12Go Link")</f>
        <v>12Go Link</v>
      </c>
      <c r="E5480" s="3" t="s">
        <v>94</v>
      </c>
      <c r="K5480" s="5"/>
    </row>
    <row r="5481">
      <c r="A5481" s="3" t="s">
        <v>3678</v>
      </c>
      <c r="B5481" s="3" t="s">
        <v>4971</v>
      </c>
      <c r="C5481" s="3" t="s">
        <v>5491</v>
      </c>
      <c r="D5481" s="4" t="str">
        <f>HYPERLINK("https://12go.asia/en/travel/lingampalli/parbhani-junction", "12Go Link")</f>
        <v>12Go Link</v>
      </c>
      <c r="E5481" s="3" t="s">
        <v>94</v>
      </c>
      <c r="K5481" s="5"/>
    </row>
    <row r="5482">
      <c r="A5482" s="3" t="s">
        <v>3678</v>
      </c>
      <c r="B5482" s="3" t="s">
        <v>5492</v>
      </c>
      <c r="C5482" s="3" t="s">
        <v>5493</v>
      </c>
      <c r="D5482" s="4" t="str">
        <f>HYPERLINK("https://12go.asia/en/travel/lingampalli/pithapuram", "12Go Link")</f>
        <v>12Go Link</v>
      </c>
      <c r="E5482" s="3" t="s">
        <v>94</v>
      </c>
      <c r="K5482" s="5"/>
    </row>
    <row r="5483">
      <c r="A5483" s="3" t="s">
        <v>3678</v>
      </c>
      <c r="B5483" s="3" t="s">
        <v>4984</v>
      </c>
      <c r="C5483" s="3" t="s">
        <v>5494</v>
      </c>
      <c r="D5483" s="4" t="str">
        <f>HYPERLINK("https://12go.asia/en/travel/lingampalli/sattenapalle", "12Go Link")</f>
        <v>12Go Link</v>
      </c>
      <c r="E5483" s="3" t="s">
        <v>94</v>
      </c>
      <c r="K5483" s="5"/>
    </row>
    <row r="5484">
      <c r="A5484" s="3" t="s">
        <v>3678</v>
      </c>
      <c r="B5484" s="3" t="s">
        <v>4099</v>
      </c>
      <c r="C5484" s="3" t="s">
        <v>5495</v>
      </c>
      <c r="D5484" s="4" t="str">
        <f>HYPERLINK("https://12go.asia/en/travel/lingampalli/sainagar-shirdi", "12Go Link")</f>
        <v>12Go Link</v>
      </c>
      <c r="E5484" s="3" t="s">
        <v>94</v>
      </c>
      <c r="K5484" s="5"/>
    </row>
    <row r="5485">
      <c r="A5485" s="3" t="s">
        <v>3678</v>
      </c>
      <c r="B5485" s="3" t="s">
        <v>4099</v>
      </c>
      <c r="C5485" s="3" t="s">
        <v>5496</v>
      </c>
      <c r="D5485" s="4" t="str">
        <f>HYPERLINK("https://12go.asia/en/travel/lingampalli/shirdi", "12Go Link")</f>
        <v>12Go Link</v>
      </c>
      <c r="E5485" s="3" t="s">
        <v>94</v>
      </c>
      <c r="K5485" s="5"/>
    </row>
    <row r="5486">
      <c r="A5486" s="3" t="s">
        <v>3678</v>
      </c>
      <c r="B5486" s="3" t="s">
        <v>5497</v>
      </c>
      <c r="C5486" s="3" t="s">
        <v>5498</v>
      </c>
      <c r="D5486" s="4" t="str">
        <f>HYPERLINK("https://12go.asia/en/travel/lingampalli/singarayakonda", "12Go Link")</f>
        <v>12Go Link</v>
      </c>
      <c r="E5486" s="3" t="s">
        <v>94</v>
      </c>
      <c r="K5486" s="5"/>
    </row>
    <row r="5487">
      <c r="A5487" s="3" t="s">
        <v>3678</v>
      </c>
      <c r="B5487" s="3" t="s">
        <v>4631</v>
      </c>
      <c r="C5487" s="3" t="s">
        <v>5499</v>
      </c>
      <c r="D5487" s="4" t="str">
        <f>HYPERLINK("https://12go.asia/en/travel/lingampalli/solapur", "12Go Link")</f>
        <v>12Go Link</v>
      </c>
      <c r="E5487" s="3" t="s">
        <v>94</v>
      </c>
      <c r="K5487" s="5"/>
    </row>
    <row r="5488">
      <c r="A5488" s="3" t="s">
        <v>3678</v>
      </c>
      <c r="B5488" s="3" t="s">
        <v>4631</v>
      </c>
      <c r="C5488" s="3" t="s">
        <v>5500</v>
      </c>
      <c r="D5488" s="4" t="str">
        <f>HYPERLINK("https://12go.asia/en/travel/lingampalli/solapur-junction", "12Go Link")</f>
        <v>12Go Link</v>
      </c>
      <c r="E5488" s="3" t="s">
        <v>94</v>
      </c>
      <c r="K5488" s="5"/>
    </row>
    <row r="5489">
      <c r="A5489" s="3" t="s">
        <v>3678</v>
      </c>
      <c r="B5489" s="3" t="s">
        <v>5501</v>
      </c>
      <c r="C5489" s="3" t="s">
        <v>5502</v>
      </c>
      <c r="D5489" s="4" t="str">
        <f>HYPERLINK("https://12go.asia/en/travel/lingampalli/tenali", "12Go Link")</f>
        <v>12Go Link</v>
      </c>
      <c r="E5489" s="3" t="s">
        <v>94</v>
      </c>
      <c r="K5489" s="5"/>
    </row>
    <row r="5490">
      <c r="A5490" s="3" t="s">
        <v>3678</v>
      </c>
      <c r="B5490" s="3" t="s">
        <v>5501</v>
      </c>
      <c r="C5490" s="3" t="s">
        <v>5503</v>
      </c>
      <c r="D5490" s="4" t="str">
        <f>HYPERLINK("https://12go.asia/en/travel/lingampalli/tenali-junction", "12Go Link")</f>
        <v>12Go Link</v>
      </c>
      <c r="E5490" s="3" t="s">
        <v>94</v>
      </c>
      <c r="K5490" s="5"/>
    </row>
    <row r="5491">
      <c r="A5491" s="3" t="s">
        <v>3678</v>
      </c>
      <c r="B5491" s="3" t="s">
        <v>4922</v>
      </c>
      <c r="C5491" s="3" t="s">
        <v>5504</v>
      </c>
      <c r="D5491" s="4" t="str">
        <f>HYPERLINK("https://12go.asia/en/travel/lingampalli/thane", "12Go Link")</f>
        <v>12Go Link</v>
      </c>
      <c r="E5491" s="3" t="s">
        <v>94</v>
      </c>
      <c r="K5491" s="5"/>
    </row>
    <row r="5492">
      <c r="A5492" s="3" t="s">
        <v>3678</v>
      </c>
      <c r="B5492" s="3" t="s">
        <v>3776</v>
      </c>
      <c r="C5492" s="3" t="s">
        <v>5505</v>
      </c>
      <c r="D5492" s="4" t="str">
        <f>HYPERLINK("https://12go.asia/en/travel/lingampalli/ujjain", "12Go Link")</f>
        <v>12Go Link</v>
      </c>
      <c r="E5492" s="3" t="s">
        <v>94</v>
      </c>
      <c r="K5492" s="5"/>
    </row>
    <row r="5493">
      <c r="A5493" s="3" t="s">
        <v>3678</v>
      </c>
      <c r="B5493" s="3" t="s">
        <v>186</v>
      </c>
      <c r="C5493" s="3" t="s">
        <v>5506</v>
      </c>
      <c r="D5493" s="4" t="str">
        <f>HYPERLINK("https://12go.asia/en/travel/lingampalli/vadodara", "12Go Link")</f>
        <v>12Go Link</v>
      </c>
      <c r="E5493" s="3" t="s">
        <v>94</v>
      </c>
      <c r="K5493" s="5"/>
    </row>
    <row r="5494">
      <c r="A5494" s="3" t="s">
        <v>3678</v>
      </c>
      <c r="B5494" s="3" t="s">
        <v>4030</v>
      </c>
      <c r="C5494" s="3" t="s">
        <v>5507</v>
      </c>
      <c r="D5494" s="4" t="str">
        <f>HYPERLINK("https://12go.asia/en/travel/lingampalli/visakhapatnam", "12Go Link")</f>
        <v>12Go Link</v>
      </c>
      <c r="E5494" s="3" t="s">
        <v>94</v>
      </c>
      <c r="K5494" s="5"/>
    </row>
    <row r="5495">
      <c r="A5495" s="3" t="s">
        <v>3678</v>
      </c>
      <c r="B5495" s="3" t="s">
        <v>3780</v>
      </c>
      <c r="C5495" s="3" t="s">
        <v>5508</v>
      </c>
      <c r="D5495" s="4" t="str">
        <f>HYPERLINK("https://12go.asia/en/travel/lingampalli/vizianagram", "12Go Link")</f>
        <v>12Go Link</v>
      </c>
      <c r="E5495" s="3" t="s">
        <v>94</v>
      </c>
      <c r="K5495" s="5"/>
    </row>
    <row r="5496">
      <c r="A5496" s="3" t="s">
        <v>3678</v>
      </c>
      <c r="B5496" s="3" t="s">
        <v>3780</v>
      </c>
      <c r="C5496" s="3" t="s">
        <v>5509</v>
      </c>
      <c r="D5496" s="4" t="str">
        <f>HYPERLINK("https://12go.asia/en/travel/lingampalli/vizianagram-junction", "12Go Link")</f>
        <v>12Go Link</v>
      </c>
      <c r="E5496" s="3" t="s">
        <v>94</v>
      </c>
      <c r="K5496" s="5"/>
    </row>
    <row r="5497">
      <c r="A5497" s="3" t="s">
        <v>3678</v>
      </c>
      <c r="B5497" s="3" t="s">
        <v>3782</v>
      </c>
      <c r="C5497" s="3" t="s">
        <v>5510</v>
      </c>
      <c r="D5497" s="4" t="str">
        <f>HYPERLINK("https://12go.asia/en/travel/lingampalli/kazipet-junction", "12Go Link")</f>
        <v>12Go Link</v>
      </c>
      <c r="E5497" s="3" t="s">
        <v>94</v>
      </c>
      <c r="K5497" s="5"/>
    </row>
    <row r="5498">
      <c r="A5498" s="3" t="s">
        <v>3734</v>
      </c>
      <c r="B5498" s="3" t="s">
        <v>3970</v>
      </c>
      <c r="C5498" s="3" t="s">
        <v>5511</v>
      </c>
      <c r="D5498" s="4" t="str">
        <f>HYPERLINK("https://12go.asia/en/travel/lonavala/navi-mumbai", "12Go Link")</f>
        <v>12Go Link</v>
      </c>
      <c r="E5498" s="3" t="s">
        <v>94</v>
      </c>
      <c r="K5498" s="5"/>
    </row>
    <row r="5499">
      <c r="A5499" s="3" t="s">
        <v>3994</v>
      </c>
      <c r="B5499" s="3" t="s">
        <v>4113</v>
      </c>
      <c r="C5499" s="3" t="s">
        <v>5512</v>
      </c>
      <c r="D5499" s="4" t="str">
        <f>HYPERLINK("https://12go.asia/en/travel/gomti-nagar-lucknow/bandra-terminus", "12Go Link")</f>
        <v>12Go Link</v>
      </c>
      <c r="E5499" s="3" t="s">
        <v>94</v>
      </c>
      <c r="K5499" s="5"/>
    </row>
    <row r="5500">
      <c r="A5500" s="3" t="s">
        <v>3994</v>
      </c>
      <c r="B5500" s="3" t="s">
        <v>3994</v>
      </c>
      <c r="C5500" s="3" t="s">
        <v>5513</v>
      </c>
      <c r="D5500" s="4" t="str">
        <f>HYPERLINK("https://12go.asia/en/travel/lucknow-ne/lucknow-nr", "12Go Link")</f>
        <v>12Go Link</v>
      </c>
      <c r="E5500" s="3" t="s">
        <v>94</v>
      </c>
      <c r="K5500" s="5"/>
    </row>
    <row r="5501">
      <c r="A5501" s="3" t="s">
        <v>3994</v>
      </c>
      <c r="B5501" s="3" t="s">
        <v>4530</v>
      </c>
      <c r="C5501" s="3" t="s">
        <v>5514</v>
      </c>
      <c r="D5501" s="4" t="str">
        <f>HYPERLINK("https://12go.asia/en/travel/aishbagh/muzaffarpur-junction", "12Go Link")</f>
        <v>12Go Link</v>
      </c>
      <c r="E5501" s="3" t="s">
        <v>94</v>
      </c>
      <c r="K5501" s="5"/>
    </row>
    <row r="5502">
      <c r="A5502" s="3" t="s">
        <v>3994</v>
      </c>
      <c r="B5502" s="3" t="s">
        <v>4530</v>
      </c>
      <c r="C5502" s="3" t="s">
        <v>5515</v>
      </c>
      <c r="D5502" s="4" t="str">
        <f>HYPERLINK("https://12go.asia/en/travel/lucknow-ne/muzaffarpur-junction", "12Go Link")</f>
        <v>12Go Link</v>
      </c>
      <c r="E5502" s="3" t="s">
        <v>94</v>
      </c>
      <c r="K5502" s="5"/>
    </row>
    <row r="5503">
      <c r="A5503" s="3" t="s">
        <v>3994</v>
      </c>
      <c r="B5503" s="3" t="s">
        <v>4130</v>
      </c>
      <c r="C5503" s="3" t="s">
        <v>5516</v>
      </c>
      <c r="D5503" s="4" t="str">
        <f>HYPERLINK("https://12go.asia/en/travel/lucknow-nr/puri", "12Go Link")</f>
        <v>12Go Link</v>
      </c>
      <c r="E5503" s="3" t="s">
        <v>94</v>
      </c>
      <c r="K5503" s="5"/>
    </row>
    <row r="5504">
      <c r="A5504" s="3" t="s">
        <v>3994</v>
      </c>
      <c r="B5504" s="3" t="s">
        <v>4130</v>
      </c>
      <c r="C5504" s="3" t="s">
        <v>5517</v>
      </c>
      <c r="D5504" s="4" t="str">
        <f>HYPERLINK("https://12go.asia/en/travel/lucknow/puri", "12Go Link")</f>
        <v>12Go Link</v>
      </c>
      <c r="E5504" s="3" t="s">
        <v>94</v>
      </c>
      <c r="K5504" s="5"/>
    </row>
    <row r="5505">
      <c r="A5505" s="3" t="s">
        <v>4578</v>
      </c>
      <c r="B5505" s="3" t="s">
        <v>4001</v>
      </c>
      <c r="C5505" s="3" t="s">
        <v>5518</v>
      </c>
      <c r="D5505" s="4" t="str">
        <f>HYPERLINK("https://12go.asia/en/travel/ludhiana/bihar", "12Go Link")</f>
        <v>12Go Link</v>
      </c>
      <c r="E5505" s="3" t="s">
        <v>94</v>
      </c>
      <c r="K5505" s="5"/>
    </row>
    <row r="5506">
      <c r="A5506" s="3" t="s">
        <v>4578</v>
      </c>
      <c r="B5506" s="3" t="s">
        <v>4154</v>
      </c>
      <c r="C5506" s="3" t="s">
        <v>5519</v>
      </c>
      <c r="D5506" s="4" t="str">
        <f>HYPERLINK("https://12go.asia/en/travel/ludhiana/bilaspur", "12Go Link")</f>
        <v>12Go Link</v>
      </c>
      <c r="E5506" s="3" t="s">
        <v>94</v>
      </c>
      <c r="K5506" s="5"/>
    </row>
    <row r="5507">
      <c r="A5507" s="3" t="s">
        <v>4578</v>
      </c>
      <c r="B5507" s="3" t="s">
        <v>4154</v>
      </c>
      <c r="C5507" s="3" t="s">
        <v>5520</v>
      </c>
      <c r="D5507" s="4" t="str">
        <f>HYPERLINK("https://12go.asia/en/travel/ludhiana/bilaspur-jn", "12Go Link")</f>
        <v>12Go Link</v>
      </c>
      <c r="E5507" s="3" t="s">
        <v>94</v>
      </c>
      <c r="K5507" s="5"/>
    </row>
    <row r="5508">
      <c r="A5508" s="3" t="s">
        <v>4578</v>
      </c>
      <c r="B5508" s="3" t="s">
        <v>4063</v>
      </c>
      <c r="C5508" s="3" t="s">
        <v>5521</v>
      </c>
      <c r="D5508" s="4" t="str">
        <f>HYPERLINK("https://12go.asia/en/travel/ludhiana/damoh", "12Go Link")</f>
        <v>12Go Link</v>
      </c>
      <c r="E5508" s="3" t="s">
        <v>94</v>
      </c>
      <c r="K5508" s="5"/>
    </row>
    <row r="5509">
      <c r="A5509" s="3" t="s">
        <v>4578</v>
      </c>
      <c r="B5509" s="3" t="s">
        <v>4209</v>
      </c>
      <c r="C5509" s="3" t="s">
        <v>5522</v>
      </c>
      <c r="D5509" s="4" t="str">
        <f>HYPERLINK("https://12go.asia/en/travel/ludhiana/danapur", "12Go Link")</f>
        <v>12Go Link</v>
      </c>
      <c r="E5509" s="3" t="s">
        <v>94</v>
      </c>
      <c r="K5509" s="5"/>
    </row>
    <row r="5510">
      <c r="A5510" s="3" t="s">
        <v>4578</v>
      </c>
      <c r="B5510" s="3" t="s">
        <v>4660</v>
      </c>
      <c r="C5510" s="3" t="s">
        <v>5523</v>
      </c>
      <c r="D5510" s="4" t="str">
        <f>HYPERLINK("https://12go.asia/en/travel/ludhiana/pathankot-cantt", "12Go Link")</f>
        <v>12Go Link</v>
      </c>
      <c r="E5510" s="3" t="s">
        <v>94</v>
      </c>
      <c r="K5510" s="5"/>
    </row>
    <row r="5511">
      <c r="A5511" s="3" t="s">
        <v>3736</v>
      </c>
      <c r="B5511" s="3" t="s">
        <v>3723</v>
      </c>
      <c r="C5511" s="3" t="s">
        <v>5524</v>
      </c>
      <c r="D5511" s="4" t="str">
        <f>HYPERLINK("https://12go.asia/en/travel/machelipatnam/guntur-junction", "12Go Link")</f>
        <v>12Go Link</v>
      </c>
      <c r="E5511" s="3" t="s">
        <v>94</v>
      </c>
      <c r="K5511" s="5"/>
    </row>
    <row r="5512">
      <c r="A5512" s="3" t="s">
        <v>3736</v>
      </c>
      <c r="B5512" s="3" t="s">
        <v>3723</v>
      </c>
      <c r="C5512" s="3" t="s">
        <v>5525</v>
      </c>
      <c r="D5512" s="4" t="str">
        <f>HYPERLINK("https://12go.asia/en/travel/machilipatnam/guntur", "12Go Link")</f>
        <v>12Go Link</v>
      </c>
      <c r="E5512" s="3" t="s">
        <v>94</v>
      </c>
      <c r="K5512" s="5"/>
    </row>
    <row r="5513">
      <c r="A5513" s="3" t="s">
        <v>5526</v>
      </c>
      <c r="B5513" s="3" t="s">
        <v>3797</v>
      </c>
      <c r="C5513" s="3" t="s">
        <v>5527</v>
      </c>
      <c r="D5513" s="4" t="str">
        <f>HYPERLINK("https://12go.asia/en/travel/madhupur-junction/asansol-junction", "12Go Link")</f>
        <v>12Go Link</v>
      </c>
      <c r="E5513" s="3" t="s">
        <v>94</v>
      </c>
      <c r="K5513" s="5"/>
    </row>
    <row r="5514">
      <c r="A5514" s="3" t="s">
        <v>5526</v>
      </c>
      <c r="B5514" s="3" t="s">
        <v>3797</v>
      </c>
      <c r="C5514" s="3" t="s">
        <v>5528</v>
      </c>
      <c r="D5514" s="4" t="str">
        <f>HYPERLINK("https://12go.asia/en/travel/madhupur/asansol", "12Go Link")</f>
        <v>12Go Link</v>
      </c>
      <c r="E5514" s="3" t="s">
        <v>94</v>
      </c>
      <c r="K5514" s="5"/>
    </row>
    <row r="5515">
      <c r="A5515" s="3" t="s">
        <v>5526</v>
      </c>
      <c r="B5515" s="3" t="s">
        <v>3917</v>
      </c>
      <c r="C5515" s="3" t="s">
        <v>5529</v>
      </c>
      <c r="D5515" s="4" t="str">
        <f>HYPERLINK("https://12go.asia/en/travel/madhupur-junction/patna-jn", "12Go Link")</f>
        <v>12Go Link</v>
      </c>
      <c r="E5515" s="3" t="s">
        <v>94</v>
      </c>
      <c r="K5515" s="5"/>
    </row>
    <row r="5516">
      <c r="A5516" s="3" t="s">
        <v>5526</v>
      </c>
      <c r="B5516" s="3" t="s">
        <v>3917</v>
      </c>
      <c r="C5516" s="3" t="s">
        <v>5530</v>
      </c>
      <c r="D5516" s="4" t="str">
        <f>HYPERLINK("https://12go.asia/en/travel/madhupur/patna", "12Go Link")</f>
        <v>12Go Link</v>
      </c>
      <c r="E5516" s="3" t="s">
        <v>94</v>
      </c>
      <c r="K5516" s="5"/>
    </row>
    <row r="5517">
      <c r="A5517" s="3" t="s">
        <v>4040</v>
      </c>
      <c r="B5517" s="3" t="s">
        <v>3898</v>
      </c>
      <c r="C5517" s="3" t="s">
        <v>5531</v>
      </c>
      <c r="D5517" s="4" t="str">
        <f>HYPERLINK("https://12go.asia/en/travel/khirkiya/jabalpur", "12Go Link")</f>
        <v>12Go Link</v>
      </c>
      <c r="E5517" s="3" t="s">
        <v>94</v>
      </c>
      <c r="K5517" s="5"/>
    </row>
    <row r="5518">
      <c r="A5518" s="3" t="s">
        <v>5201</v>
      </c>
      <c r="B5518" s="3" t="s">
        <v>5532</v>
      </c>
      <c r="C5518" s="3" t="s">
        <v>5533</v>
      </c>
      <c r="D5518" s="4" t="str">
        <f>HYPERLINK("https://12go.asia/en/travel/madurai-junction/mandapam", "12Go Link")</f>
        <v>12Go Link</v>
      </c>
      <c r="E5518" s="3" t="s">
        <v>94</v>
      </c>
      <c r="K5518" s="5"/>
    </row>
    <row r="5519">
      <c r="A5519" s="3" t="s">
        <v>5201</v>
      </c>
      <c r="B5519" s="3" t="s">
        <v>3750</v>
      </c>
      <c r="C5519" s="3" t="s">
        <v>5534</v>
      </c>
      <c r="D5519" s="4" t="str">
        <f>HYPERLINK("https://12go.asia/en/travel/madurai/podanur", "12Go Link")</f>
        <v>12Go Link</v>
      </c>
      <c r="E5519" s="3" t="s">
        <v>94</v>
      </c>
      <c r="K5519" s="5"/>
    </row>
    <row r="5520">
      <c r="A5520" s="3" t="s">
        <v>163</v>
      </c>
      <c r="B5520" s="3" t="s">
        <v>4253</v>
      </c>
      <c r="C5520" s="3" t="s">
        <v>5535</v>
      </c>
      <c r="D5520" s="4" t="str">
        <f>HYPERLINK("https://12go.asia/en/travel/maharashtra/junagadh", "12Go Link")</f>
        <v>12Go Link</v>
      </c>
      <c r="E5520" s="3" t="s">
        <v>94</v>
      </c>
      <c r="K5520" s="5"/>
    </row>
    <row r="5521">
      <c r="A5521" s="3" t="s">
        <v>163</v>
      </c>
      <c r="B5521" s="3" t="s">
        <v>5536</v>
      </c>
      <c r="C5521" s="3" t="s">
        <v>5537</v>
      </c>
      <c r="D5521" s="4" t="str">
        <f>HYPERLINK("https://12go.asia/en/travel/miraj-junction/kolhapur", "12Go Link")</f>
        <v>12Go Link</v>
      </c>
      <c r="E5521" s="3" t="s">
        <v>94</v>
      </c>
      <c r="K5521" s="5"/>
    </row>
    <row r="5522">
      <c r="A5522" s="3" t="s">
        <v>163</v>
      </c>
      <c r="B5522" s="3" t="s">
        <v>3690</v>
      </c>
      <c r="C5522" s="3" t="s">
        <v>5538</v>
      </c>
      <c r="D5522" s="4" t="str">
        <f>HYPERLINK("https://12go.asia/en/travel/kankavali/mumbai-cst", "12Go Link")</f>
        <v>12Go Link</v>
      </c>
      <c r="E5522" s="3" t="s">
        <v>94</v>
      </c>
      <c r="K5522" s="5"/>
    </row>
    <row r="5523">
      <c r="A5523" s="3" t="s">
        <v>163</v>
      </c>
      <c r="B5523" s="3" t="s">
        <v>3690</v>
      </c>
      <c r="C5523" s="3" t="s">
        <v>5539</v>
      </c>
      <c r="D5523" s="4" t="str">
        <f>HYPERLINK("https://12go.asia/en/travel/kankavali/mumbai-dadar", "12Go Link")</f>
        <v>12Go Link</v>
      </c>
      <c r="E5523" s="3" t="s">
        <v>94</v>
      </c>
      <c r="K5523" s="5"/>
    </row>
    <row r="5524">
      <c r="A5524" s="3" t="s">
        <v>163</v>
      </c>
      <c r="B5524" s="3" t="s">
        <v>5540</v>
      </c>
      <c r="C5524" s="3" t="s">
        <v>5541</v>
      </c>
      <c r="D5524" s="4" t="str">
        <f>HYPERLINK("https://12go.asia/en/travel/maharashtra/parasnath", "12Go Link")</f>
        <v>12Go Link</v>
      </c>
      <c r="E5524" s="3" t="s">
        <v>94</v>
      </c>
      <c r="K5524" s="5"/>
    </row>
    <row r="5525">
      <c r="A5525" s="3" t="s">
        <v>163</v>
      </c>
      <c r="B5525" s="3" t="s">
        <v>4660</v>
      </c>
      <c r="C5525" s="3" t="s">
        <v>5542</v>
      </c>
      <c r="D5525" s="4" t="str">
        <f>HYPERLINK("https://12go.asia/en/travel/maharashtra/pathankot", "12Go Link")</f>
        <v>12Go Link</v>
      </c>
      <c r="E5525" s="3" t="s">
        <v>94</v>
      </c>
      <c r="K5525" s="5"/>
    </row>
    <row r="5526">
      <c r="A5526" s="3" t="s">
        <v>163</v>
      </c>
      <c r="B5526" s="3" t="s">
        <v>3919</v>
      </c>
      <c r="C5526" s="3" t="s">
        <v>5543</v>
      </c>
      <c r="D5526" s="4" t="str">
        <f>HYPERLINK("https://12go.asia/en/travel/latur-road/pune-jn", "12Go Link")</f>
        <v>12Go Link</v>
      </c>
      <c r="E5526" s="3" t="s">
        <v>94</v>
      </c>
      <c r="K5526" s="5"/>
    </row>
    <row r="5527">
      <c r="A5527" s="3" t="s">
        <v>163</v>
      </c>
      <c r="B5527" s="3" t="s">
        <v>4083</v>
      </c>
      <c r="C5527" s="3" t="s">
        <v>5544</v>
      </c>
      <c r="D5527" s="4" t="str">
        <f>HYPERLINK("https://12go.asia/en/travel/maharashtra/veraval", "12Go Link")</f>
        <v>12Go Link</v>
      </c>
      <c r="E5527" s="3" t="s">
        <v>94</v>
      </c>
      <c r="K5527" s="5"/>
    </row>
    <row r="5528">
      <c r="A5528" s="3" t="s">
        <v>5545</v>
      </c>
      <c r="B5528" s="3" t="s">
        <v>3965</v>
      </c>
      <c r="C5528" s="3" t="s">
        <v>5546</v>
      </c>
      <c r="D5528" s="4" t="str">
        <f>HYPERLINK("https://12go.asia/en/travel/mahoba/ajmer", "12Go Link")</f>
        <v>12Go Link</v>
      </c>
      <c r="E5528" s="3" t="s">
        <v>94</v>
      </c>
      <c r="K5528" s="5"/>
    </row>
    <row r="5529">
      <c r="A5529" s="3" t="s">
        <v>5545</v>
      </c>
      <c r="B5529" s="3" t="s">
        <v>3965</v>
      </c>
      <c r="C5529" s="3" t="s">
        <v>5547</v>
      </c>
      <c r="D5529" s="4" t="str">
        <f>HYPERLINK("https://12go.asia/en/travel/mahoba/ajmer-jn", "12Go Link")</f>
        <v>12Go Link</v>
      </c>
      <c r="E5529" s="3" t="s">
        <v>94</v>
      </c>
      <c r="K5529" s="5"/>
    </row>
    <row r="5530">
      <c r="A5530" s="3" t="s">
        <v>5545</v>
      </c>
      <c r="B5530" s="3" t="s">
        <v>5548</v>
      </c>
      <c r="C5530" s="3" t="s">
        <v>5549</v>
      </c>
      <c r="D5530" s="4" t="str">
        <f>HYPERLINK("https://12go.asia/en/travel/mahoba/orchha", "12Go Link")</f>
        <v>12Go Link</v>
      </c>
      <c r="E5530" s="3" t="s">
        <v>94</v>
      </c>
      <c r="K5530" s="5"/>
    </row>
    <row r="5531">
      <c r="A5531" s="3" t="s">
        <v>5545</v>
      </c>
      <c r="B5531" s="3" t="s">
        <v>3666</v>
      </c>
      <c r="C5531" s="3" t="s">
        <v>5550</v>
      </c>
      <c r="D5531" s="4" t="str">
        <f>HYPERLINK("https://12go.asia/en/travel/mahoba/mughal-sarai-junction", "12Go Link")</f>
        <v>12Go Link</v>
      </c>
      <c r="E5531" s="3" t="s">
        <v>94</v>
      </c>
      <c r="K5531" s="5"/>
    </row>
    <row r="5532">
      <c r="A5532" s="3" t="s">
        <v>5551</v>
      </c>
      <c r="B5532" s="3" t="s">
        <v>4610</v>
      </c>
      <c r="C5532" s="3" t="s">
        <v>5552</v>
      </c>
      <c r="D5532" s="4" t="str">
        <f>HYPERLINK("https://12go.asia/en/travel/makrana-junction/vijayawada-jn", "12Go Link")</f>
        <v>12Go Link</v>
      </c>
      <c r="E5532" s="3" t="s">
        <v>94</v>
      </c>
      <c r="K5532" s="5"/>
    </row>
    <row r="5533">
      <c r="A5533" s="3" t="s">
        <v>5551</v>
      </c>
      <c r="B5533" s="3" t="s">
        <v>4610</v>
      </c>
      <c r="C5533" s="3" t="s">
        <v>5553</v>
      </c>
      <c r="D5533" s="4" t="str">
        <f>HYPERLINK("https://12go.asia/en/travel/makrana/vijayawada", "12Go Link")</f>
        <v>12Go Link</v>
      </c>
      <c r="E5533" s="3" t="s">
        <v>94</v>
      </c>
      <c r="K5533" s="5"/>
    </row>
    <row r="5534">
      <c r="A5534" s="3" t="s">
        <v>5554</v>
      </c>
      <c r="B5534" s="3" t="s">
        <v>5446</v>
      </c>
      <c r="C5534" s="3" t="s">
        <v>5555</v>
      </c>
      <c r="D5534" s="4" t="str">
        <f>HYPERLINK("https://12go.asia/en/travel/malappuram/kozhikode", "12Go Link")</f>
        <v>12Go Link</v>
      </c>
      <c r="E5534" s="3" t="s">
        <v>8</v>
      </c>
      <c r="K5534" s="5"/>
    </row>
    <row r="5535">
      <c r="A5535" s="3" t="s">
        <v>4684</v>
      </c>
      <c r="B5535" s="3" t="s">
        <v>3847</v>
      </c>
      <c r="C5535" s="3" t="s">
        <v>5556</v>
      </c>
      <c r="D5535" s="4" t="str">
        <f>HYPERLINK("https://12go.asia/en/travel/malda-town/new-bengaluru-terminal", "12Go Link")</f>
        <v>12Go Link</v>
      </c>
      <c r="E5535" s="3" t="s">
        <v>94</v>
      </c>
      <c r="K5535" s="5"/>
    </row>
    <row r="5536">
      <c r="A5536" s="3" t="s">
        <v>4684</v>
      </c>
      <c r="B5536" s="3" t="s">
        <v>3847</v>
      </c>
      <c r="C5536" s="3" t="s">
        <v>5557</v>
      </c>
      <c r="D5536" s="4" t="str">
        <f>HYPERLINK("https://12go.asia/en/travel/malda/bangalore", "12Go Link")</f>
        <v>12Go Link</v>
      </c>
      <c r="E5536" s="3" t="s">
        <v>94</v>
      </c>
      <c r="K5536" s="5"/>
    </row>
    <row r="5537">
      <c r="A5537" s="3" t="s">
        <v>5558</v>
      </c>
      <c r="B5537" s="3" t="s">
        <v>4187</v>
      </c>
      <c r="C5537" s="3" t="s">
        <v>5559</v>
      </c>
      <c r="D5537" s="4" t="str">
        <f>HYPERLINK("https://12go.asia/en/travel/malkapur/nagpur", "12Go Link")</f>
        <v>12Go Link</v>
      </c>
      <c r="E5537" s="3" t="s">
        <v>94</v>
      </c>
      <c r="K5537" s="5"/>
    </row>
    <row r="5538">
      <c r="A5538" s="3" t="s">
        <v>5560</v>
      </c>
      <c r="B5538" s="3" t="s">
        <v>3678</v>
      </c>
      <c r="C5538" s="3" t="s">
        <v>5561</v>
      </c>
      <c r="D5538" s="4" t="str">
        <f>HYPERLINK("https://12go.asia/en/travel/mancherial/lingampalli", "12Go Link")</f>
        <v>12Go Link</v>
      </c>
      <c r="E5538" s="3" t="s">
        <v>94</v>
      </c>
      <c r="K5538" s="5"/>
    </row>
    <row r="5539">
      <c r="A5539" s="3" t="s">
        <v>5560</v>
      </c>
      <c r="B5539" s="3" t="s">
        <v>3678</v>
      </c>
      <c r="C5539" s="3" t="s">
        <v>5562</v>
      </c>
      <c r="D5539" s="4" t="str">
        <f>HYPERLINK("https://12go.asia/en/travel/manchiryal/lingampalli", "12Go Link")</f>
        <v>12Go Link</v>
      </c>
      <c r="E5539" s="3" t="s">
        <v>94</v>
      </c>
      <c r="K5539" s="5"/>
    </row>
    <row r="5540">
      <c r="A5540" s="3" t="s">
        <v>5560</v>
      </c>
      <c r="B5540" s="3" t="s">
        <v>3842</v>
      </c>
      <c r="C5540" s="3" t="s">
        <v>5563</v>
      </c>
      <c r="D5540" s="4" t="str">
        <f>HYPERLINK("https://12go.asia/en/travel/mancherial/new-delhi", "12Go Link")</f>
        <v>12Go Link</v>
      </c>
      <c r="E5540" s="3" t="s">
        <v>94</v>
      </c>
      <c r="K5540" s="5"/>
    </row>
    <row r="5541">
      <c r="A5541" s="3" t="s">
        <v>5560</v>
      </c>
      <c r="B5541" s="3" t="s">
        <v>3842</v>
      </c>
      <c r="C5541" s="3" t="s">
        <v>5564</v>
      </c>
      <c r="D5541" s="4" t="str">
        <f>HYPERLINK("https://12go.asia/en/travel/manchiryal/new-delhi", "12Go Link")</f>
        <v>12Go Link</v>
      </c>
      <c r="E5541" s="3" t="s">
        <v>94</v>
      </c>
      <c r="K5541" s="5"/>
    </row>
    <row r="5542">
      <c r="A5542" s="3" t="s">
        <v>5560</v>
      </c>
      <c r="B5542" s="3" t="s">
        <v>4143</v>
      </c>
      <c r="C5542" s="3" t="s">
        <v>5565</v>
      </c>
      <c r="D5542" s="4" t="str">
        <f>HYPERLINK("https://12go.asia/en/travel/manchiryal/telangana", "12Go Link")</f>
        <v>12Go Link</v>
      </c>
      <c r="E5542" s="3" t="s">
        <v>94</v>
      </c>
      <c r="K5542" s="5"/>
    </row>
    <row r="5543">
      <c r="A5543" s="3" t="s">
        <v>5560</v>
      </c>
      <c r="B5543" s="3" t="s">
        <v>3782</v>
      </c>
      <c r="C5543" s="3" t="s">
        <v>5566</v>
      </c>
      <c r="D5543" s="4" t="str">
        <f>HYPERLINK("https://12go.asia/en/travel/mancherial/warangal", "12Go Link")</f>
        <v>12Go Link</v>
      </c>
      <c r="E5543" s="3" t="s">
        <v>94</v>
      </c>
      <c r="K5543" s="5"/>
    </row>
    <row r="5544">
      <c r="A5544" s="3" t="s">
        <v>5560</v>
      </c>
      <c r="B5544" s="3" t="s">
        <v>3782</v>
      </c>
      <c r="C5544" s="3" t="s">
        <v>5567</v>
      </c>
      <c r="D5544" s="4" t="str">
        <f>HYPERLINK("https://12go.asia/en/travel/manchiryal/warangal", "12Go Link")</f>
        <v>12Go Link</v>
      </c>
      <c r="E5544" s="3" t="s">
        <v>94</v>
      </c>
      <c r="K5544" s="5"/>
    </row>
    <row r="5545">
      <c r="A5545" s="3" t="s">
        <v>5532</v>
      </c>
      <c r="B5545" s="3" t="s">
        <v>3658</v>
      </c>
      <c r="C5545" s="3" t="s">
        <v>5568</v>
      </c>
      <c r="D5545" s="4" t="str">
        <f>HYPERLINK("https://12go.asia/en/travel/mandapam/nagercoil", "12Go Link")</f>
        <v>12Go Link</v>
      </c>
      <c r="E5545" s="3" t="s">
        <v>94</v>
      </c>
      <c r="K5545" s="5"/>
    </row>
    <row r="5546">
      <c r="A5546" s="3" t="s">
        <v>5532</v>
      </c>
      <c r="B5546" s="3" t="s">
        <v>3658</v>
      </c>
      <c r="C5546" s="3" t="s">
        <v>5569</v>
      </c>
      <c r="D5546" s="4" t="str">
        <f>HYPERLINK("https://12go.asia/en/travel/mandapam/nagercoil-jn", "12Go Link")</f>
        <v>12Go Link</v>
      </c>
      <c r="E5546" s="3" t="s">
        <v>94</v>
      </c>
      <c r="K5546" s="5"/>
    </row>
    <row r="5547">
      <c r="A5547" s="3" t="s">
        <v>5570</v>
      </c>
      <c r="B5547" s="3" t="s">
        <v>3708</v>
      </c>
      <c r="C5547" s="3" t="s">
        <v>5571</v>
      </c>
      <c r="D5547" s="4" t="str">
        <f>HYPERLINK("https://12go.asia/en/travel/mandarmani/west-bengal", "12Go Link")</f>
        <v>12Go Link</v>
      </c>
      <c r="E5547" s="3" t="s">
        <v>94</v>
      </c>
      <c r="K5547" s="5"/>
    </row>
    <row r="5548">
      <c r="A5548" s="3" t="s">
        <v>3644</v>
      </c>
      <c r="B5548" s="3" t="s">
        <v>149</v>
      </c>
      <c r="C5548" s="3" t="s">
        <v>5572</v>
      </c>
      <c r="D5548" s="4" t="str">
        <f>HYPERLINK("https://12go.asia/en/travel/mangalore-jn/ahmedabad-jn", "12Go Link")</f>
        <v>12Go Link</v>
      </c>
      <c r="E5548" s="3" t="s">
        <v>94</v>
      </c>
      <c r="K5548" s="5"/>
    </row>
    <row r="5549">
      <c r="A5549" s="3" t="s">
        <v>3644</v>
      </c>
      <c r="B5549" s="3" t="s">
        <v>3647</v>
      </c>
      <c r="C5549" s="3" t="s">
        <v>5573</v>
      </c>
      <c r="D5549" s="4" t="str">
        <f>HYPERLINK("https://12go.asia/en/travel/mangalore-jn/hazrat-nizamuddin", "12Go Link")</f>
        <v>12Go Link</v>
      </c>
      <c r="E5549" s="3" t="s">
        <v>94</v>
      </c>
      <c r="K5549" s="5"/>
    </row>
    <row r="5550">
      <c r="A5550" s="3" t="s">
        <v>3644</v>
      </c>
      <c r="B5550" s="3" t="s">
        <v>5142</v>
      </c>
      <c r="C5550" s="3" t="s">
        <v>5574</v>
      </c>
      <c r="D5550" s="4" t="str">
        <f>HYPERLINK("https://12go.asia/en/travel/mangalore-jn/kanhangad", "12Go Link")</f>
        <v>12Go Link</v>
      </c>
      <c r="E5550" s="3" t="s">
        <v>94</v>
      </c>
      <c r="K5550" s="5"/>
    </row>
    <row r="5551">
      <c r="A5551" s="3" t="s">
        <v>3644</v>
      </c>
      <c r="B5551" s="3" t="s">
        <v>5575</v>
      </c>
      <c r="C5551" s="3" t="s">
        <v>5576</v>
      </c>
      <c r="D5551" s="4" t="str">
        <f>HYPERLINK("https://12go.asia/en/travel/mangalore/kankanadi", "12Go Link")</f>
        <v>12Go Link</v>
      </c>
      <c r="E5551" s="3" t="s">
        <v>94</v>
      </c>
      <c r="K5551" s="5"/>
    </row>
    <row r="5552">
      <c r="A5552" s="3" t="s">
        <v>3644</v>
      </c>
      <c r="B5552" s="3" t="s">
        <v>3644</v>
      </c>
      <c r="C5552" s="3" t="s">
        <v>5577</v>
      </c>
      <c r="D5552" s="4" t="str">
        <f>HYPERLINK("https://12go.asia/en/travel/mangalore-central/mangalore-jn", "12Go Link")</f>
        <v>12Go Link</v>
      </c>
      <c r="E5552" s="3" t="s">
        <v>94</v>
      </c>
      <c r="K5552" s="5"/>
    </row>
    <row r="5553">
      <c r="A5553" s="3" t="s">
        <v>3644</v>
      </c>
      <c r="B5553" s="3" t="s">
        <v>3970</v>
      </c>
      <c r="C5553" s="3" t="s">
        <v>5578</v>
      </c>
      <c r="D5553" s="4" t="str">
        <f>HYPERLINK("https://12go.asia/en/travel/mangalore/navi-mumbai", "12Go Link")</f>
        <v>12Go Link</v>
      </c>
      <c r="E5553" s="3" t="s">
        <v>94</v>
      </c>
      <c r="K5553" s="5"/>
    </row>
    <row r="5554">
      <c r="A5554" s="3" t="s">
        <v>3644</v>
      </c>
      <c r="B5554" s="3" t="s">
        <v>5579</v>
      </c>
      <c r="C5554" s="3" t="s">
        <v>5580</v>
      </c>
      <c r="D5554" s="4" t="str">
        <f>HYPERLINK("https://12go.asia/en/travel/mangalore-central/palakkad", "12Go Link")</f>
        <v>12Go Link</v>
      </c>
      <c r="E5554" s="3" t="s">
        <v>94</v>
      </c>
      <c r="K5554" s="5"/>
    </row>
    <row r="5555">
      <c r="A5555" s="3" t="s">
        <v>3644</v>
      </c>
      <c r="B5555" s="3" t="s">
        <v>5579</v>
      </c>
      <c r="C5555" s="3" t="s">
        <v>5581</v>
      </c>
      <c r="D5555" s="4" t="str">
        <f>HYPERLINK("https://12go.asia/en/travel/mangalore-jn/palakkad", "12Go Link")</f>
        <v>12Go Link</v>
      </c>
      <c r="E5555" s="3" t="s">
        <v>94</v>
      </c>
      <c r="K5555" s="5"/>
    </row>
    <row r="5556">
      <c r="A5556" s="3" t="s">
        <v>3644</v>
      </c>
      <c r="B5556" s="3" t="s">
        <v>5579</v>
      </c>
      <c r="C5556" s="3" t="s">
        <v>5582</v>
      </c>
      <c r="D5556" s="4" t="str">
        <f>HYPERLINK("https://12go.asia/en/travel/mangalore/palakkad", "12Go Link")</f>
        <v>12Go Link</v>
      </c>
      <c r="E5556" s="3" t="s">
        <v>94</v>
      </c>
      <c r="K5556" s="5"/>
    </row>
    <row r="5557">
      <c r="A5557" s="3" t="s">
        <v>3644</v>
      </c>
      <c r="B5557" s="3" t="s">
        <v>3694</v>
      </c>
      <c r="C5557" s="3" t="s">
        <v>5583</v>
      </c>
      <c r="D5557" s="4" t="str">
        <f>HYPERLINK("https://12go.asia/en/travel/mangalore-central/tiruchchirappalli-junction", "12Go Link")</f>
        <v>12Go Link</v>
      </c>
      <c r="E5557" s="3" t="s">
        <v>94</v>
      </c>
      <c r="K5557" s="5"/>
    </row>
    <row r="5558">
      <c r="A5558" s="3" t="s">
        <v>3644</v>
      </c>
      <c r="B5558" s="3" t="s">
        <v>3694</v>
      </c>
      <c r="C5558" s="3" t="s">
        <v>5584</v>
      </c>
      <c r="D5558" s="4" t="str">
        <f>HYPERLINK("https://12go.asia/en/travel/mangalore/tiruchirappalli", "12Go Link")</f>
        <v>12Go Link</v>
      </c>
      <c r="E5558" s="3" t="s">
        <v>94</v>
      </c>
      <c r="K5558" s="5"/>
    </row>
    <row r="5559">
      <c r="A5559" s="3" t="s">
        <v>5585</v>
      </c>
      <c r="B5559" s="3" t="s">
        <v>4384</v>
      </c>
      <c r="C5559" s="3" t="s">
        <v>5586</v>
      </c>
      <c r="D5559" s="4" t="str">
        <f>HYPERLINK("https://12go.asia/en/travel/manikpur-junction/gorakhpur", "12Go Link")</f>
        <v>12Go Link</v>
      </c>
      <c r="E5559" s="3" t="s">
        <v>94</v>
      </c>
      <c r="K5559" s="5"/>
    </row>
    <row r="5560">
      <c r="A5560" s="3" t="s">
        <v>5585</v>
      </c>
      <c r="B5560" s="3" t="s">
        <v>4384</v>
      </c>
      <c r="C5560" s="3" t="s">
        <v>5587</v>
      </c>
      <c r="D5560" s="4" t="str">
        <f>HYPERLINK("https://12go.asia/en/travel/manikpur/gorakhpur", "12Go Link")</f>
        <v>12Go Link</v>
      </c>
      <c r="E5560" s="3" t="s">
        <v>94</v>
      </c>
      <c r="K5560" s="5"/>
    </row>
    <row r="5561">
      <c r="A5561" s="3" t="s">
        <v>5585</v>
      </c>
      <c r="B5561" s="3" t="s">
        <v>3776</v>
      </c>
      <c r="C5561" s="3" t="s">
        <v>5588</v>
      </c>
      <c r="D5561" s="4" t="str">
        <f>HYPERLINK("https://12go.asia/en/travel/manikpur-junction/ujjain", "12Go Link")</f>
        <v>12Go Link</v>
      </c>
      <c r="E5561" s="3" t="s">
        <v>94</v>
      </c>
      <c r="K5561" s="5"/>
    </row>
    <row r="5562">
      <c r="A5562" s="3" t="s">
        <v>5585</v>
      </c>
      <c r="B5562" s="3" t="s">
        <v>3776</v>
      </c>
      <c r="C5562" s="3" t="s">
        <v>5589</v>
      </c>
      <c r="D5562" s="4" t="str">
        <f>HYPERLINK("https://12go.asia/en/travel/manikpur/ujjain", "12Go Link")</f>
        <v>12Go Link</v>
      </c>
      <c r="E5562" s="3" t="s">
        <v>94</v>
      </c>
      <c r="K5562" s="5"/>
    </row>
    <row r="5563">
      <c r="A5563" s="3" t="s">
        <v>3834</v>
      </c>
      <c r="B5563" s="3" t="s">
        <v>149</v>
      </c>
      <c r="C5563" s="3" t="s">
        <v>5590</v>
      </c>
      <c r="D5563" s="4" t="str">
        <f>HYPERLINK("https://12go.asia/en/travel/manmad-junction/ahmedabad-jn", "12Go Link")</f>
        <v>12Go Link</v>
      </c>
      <c r="E5563" s="3" t="s">
        <v>94</v>
      </c>
      <c r="K5563" s="5"/>
    </row>
    <row r="5564">
      <c r="A5564" s="3" t="s">
        <v>3834</v>
      </c>
      <c r="B5564" s="3" t="s">
        <v>4517</v>
      </c>
      <c r="C5564" s="3" t="s">
        <v>5591</v>
      </c>
      <c r="D5564" s="4" t="str">
        <f>HYPERLINK("https://12go.asia/en/travel/manmad-junction/katni", "12Go Link")</f>
        <v>12Go Link</v>
      </c>
      <c r="E5564" s="3" t="s">
        <v>94</v>
      </c>
      <c r="K5564" s="5"/>
    </row>
    <row r="5565">
      <c r="A5565" s="3" t="s">
        <v>3834</v>
      </c>
      <c r="B5565" s="3" t="s">
        <v>4517</v>
      </c>
      <c r="C5565" s="3" t="s">
        <v>5592</v>
      </c>
      <c r="D5565" s="4" t="str">
        <f>HYPERLINK("https://12go.asia/en/travel/manmad/katni", "12Go Link")</f>
        <v>12Go Link</v>
      </c>
      <c r="E5565" s="3" t="s">
        <v>94</v>
      </c>
      <c r="K5565" s="5"/>
    </row>
    <row r="5566">
      <c r="A5566" s="3" t="s">
        <v>165</v>
      </c>
      <c r="B5566" s="3" t="s">
        <v>4172</v>
      </c>
      <c r="C5566" s="3" t="s">
        <v>5593</v>
      </c>
      <c r="D5566" s="4" t="str">
        <f>HYPERLINK("https://12go.asia/en/travel/madgaon/ghatprabha", "12Go Link")</f>
        <v>12Go Link</v>
      </c>
      <c r="E5566" s="3" t="s">
        <v>94</v>
      </c>
      <c r="K5566" s="5"/>
    </row>
    <row r="5567">
      <c r="A5567" s="3" t="s">
        <v>165</v>
      </c>
      <c r="B5567" s="3" t="s">
        <v>3622</v>
      </c>
      <c r="C5567" s="3" t="s">
        <v>5594</v>
      </c>
      <c r="D5567" s="4" t="str">
        <f>HYPERLINK("https://12go.asia/en/travel/margao/karwar", "12Go Link")</f>
        <v>12Go Link</v>
      </c>
      <c r="E5567" s="3" t="s">
        <v>94</v>
      </c>
      <c r="K5567" s="5"/>
    </row>
    <row r="5568">
      <c r="A5568" s="3" t="s">
        <v>165</v>
      </c>
      <c r="B5568" s="3" t="s">
        <v>4023</v>
      </c>
      <c r="C5568" s="3" t="s">
        <v>5595</v>
      </c>
      <c r="D5568" s="4" t="str">
        <f>HYPERLINK("https://12go.asia/en/travel/madgaon/ratlam", "12Go Link")</f>
        <v>12Go Link</v>
      </c>
      <c r="E5568" s="3" t="s">
        <v>94</v>
      </c>
      <c r="K5568" s="5"/>
    </row>
    <row r="5569">
      <c r="A5569" s="3" t="s">
        <v>165</v>
      </c>
      <c r="B5569" s="3" t="s">
        <v>4270</v>
      </c>
      <c r="C5569" s="3" t="s">
        <v>5596</v>
      </c>
      <c r="D5569" s="4" t="str">
        <f>HYPERLINK("https://12go.asia/en/travel/madgaon/velankanni", "12Go Link")</f>
        <v>12Go Link</v>
      </c>
      <c r="E5569" s="3" t="s">
        <v>94</v>
      </c>
      <c r="K5569" s="5"/>
    </row>
    <row r="5570">
      <c r="A5570" s="3" t="s">
        <v>5597</v>
      </c>
      <c r="B5570" s="3" t="s">
        <v>4182</v>
      </c>
      <c r="C5570" s="3" t="s">
        <v>5598</v>
      </c>
      <c r="D5570" s="4" t="str">
        <f>HYPERLINK("https://12go.asia/en/travel/kulitthurai/ernakulam-town-north", "12Go Link")</f>
        <v>12Go Link</v>
      </c>
      <c r="E5570" s="3" t="s">
        <v>94</v>
      </c>
      <c r="K5570" s="5"/>
    </row>
    <row r="5571">
      <c r="A5571" s="3" t="s">
        <v>5597</v>
      </c>
      <c r="B5571" s="3" t="s">
        <v>4182</v>
      </c>
      <c r="C5571" s="3" t="s">
        <v>5599</v>
      </c>
      <c r="D5571" s="4" t="str">
        <f>HYPERLINK("https://12go.asia/en/travel/marthandam/kochi-india", "12Go Link")</f>
        <v>12Go Link</v>
      </c>
      <c r="E5571" s="3" t="s">
        <v>94</v>
      </c>
      <c r="K5571" s="5"/>
    </row>
    <row r="5572">
      <c r="A5572" s="3" t="s">
        <v>167</v>
      </c>
      <c r="B5572" s="3" t="s">
        <v>5600</v>
      </c>
      <c r="C5572" s="3" t="s">
        <v>5601</v>
      </c>
      <c r="D5572" s="4" t="str">
        <f>HYPERLINK("https://12go.asia/en/travel/mathura-jn/chittaurgarh", "12Go Link")</f>
        <v>12Go Link</v>
      </c>
      <c r="E5572" s="3" t="s">
        <v>94</v>
      </c>
      <c r="K5572" s="5"/>
    </row>
    <row r="5573">
      <c r="A5573" s="3" t="s">
        <v>167</v>
      </c>
      <c r="B5573" s="3" t="s">
        <v>5600</v>
      </c>
      <c r="C5573" s="3" t="s">
        <v>5602</v>
      </c>
      <c r="D5573" s="4" t="str">
        <f>HYPERLINK("https://12go.asia/en/travel/mathura/chittorgarh", "12Go Link")</f>
        <v>12Go Link</v>
      </c>
      <c r="E5573" s="3" t="s">
        <v>94</v>
      </c>
      <c r="K5573" s="5"/>
    </row>
    <row r="5574">
      <c r="A5574" s="3" t="s">
        <v>167</v>
      </c>
      <c r="B5574" s="3" t="s">
        <v>4013</v>
      </c>
      <c r="C5574" s="3" t="s">
        <v>5603</v>
      </c>
      <c r="D5574" s="4" t="str">
        <f>HYPERLINK("https://12go.asia/en/travel/mathura/daman", "12Go Link")</f>
        <v>12Go Link</v>
      </c>
      <c r="E5574" s="3" t="s">
        <v>94</v>
      </c>
      <c r="K5574" s="5"/>
    </row>
    <row r="5575">
      <c r="A5575" s="3" t="s">
        <v>167</v>
      </c>
      <c r="B5575" s="3" t="s">
        <v>3880</v>
      </c>
      <c r="C5575" s="3" t="s">
        <v>5604</v>
      </c>
      <c r="D5575" s="4" t="str">
        <f>HYPERLINK("https://12go.asia/en/travel/mathura-jn/durg", "12Go Link")</f>
        <v>12Go Link</v>
      </c>
      <c r="E5575" s="3" t="s">
        <v>94</v>
      </c>
      <c r="K5575" s="5"/>
    </row>
    <row r="5576">
      <c r="A5576" s="3" t="s">
        <v>167</v>
      </c>
      <c r="B5576" s="3" t="s">
        <v>3880</v>
      </c>
      <c r="C5576" s="3" t="s">
        <v>5605</v>
      </c>
      <c r="D5576" s="4" t="str">
        <f>HYPERLINK("https://12go.asia/en/travel/mathura/durg", "12Go Link")</f>
        <v>12Go Link</v>
      </c>
      <c r="E5576" s="3" t="s">
        <v>94</v>
      </c>
      <c r="K5576" s="5"/>
    </row>
    <row r="5577">
      <c r="A5577" s="3" t="s">
        <v>167</v>
      </c>
      <c r="B5577" s="3" t="s">
        <v>4384</v>
      </c>
      <c r="C5577" s="3" t="s">
        <v>5606</v>
      </c>
      <c r="D5577" s="4" t="str">
        <f>HYPERLINK("https://12go.asia/en/travel/mathura-jn/gorakhpur", "12Go Link")</f>
        <v>12Go Link</v>
      </c>
      <c r="E5577" s="3" t="s">
        <v>94</v>
      </c>
      <c r="K5577" s="5"/>
    </row>
    <row r="5578">
      <c r="A5578" s="3" t="s">
        <v>167</v>
      </c>
      <c r="B5578" s="3" t="s">
        <v>5607</v>
      </c>
      <c r="C5578" s="3" t="s">
        <v>5608</v>
      </c>
      <c r="D5578" s="4" t="str">
        <f>HYPERLINK("https://12go.asia/en/travel/mathura/mohali", "12Go Link")</f>
        <v>12Go Link</v>
      </c>
      <c r="E5578" s="3" t="s">
        <v>94</v>
      </c>
      <c r="K5578" s="5"/>
    </row>
    <row r="5579">
      <c r="A5579" s="3" t="s">
        <v>167</v>
      </c>
      <c r="B5579" s="3" t="s">
        <v>4407</v>
      </c>
      <c r="C5579" s="3" t="s">
        <v>5609</v>
      </c>
      <c r="D5579" s="4" t="str">
        <f>HYPERLINK("https://12go.asia/en/travel/mathura-jn/nasik-road", "12Go Link")</f>
        <v>12Go Link</v>
      </c>
      <c r="E5579" s="3" t="s">
        <v>94</v>
      </c>
      <c r="K5579" s="5"/>
    </row>
    <row r="5580">
      <c r="A5580" s="3" t="s">
        <v>167</v>
      </c>
      <c r="B5580" s="3" t="s">
        <v>4407</v>
      </c>
      <c r="C5580" s="3" t="s">
        <v>5610</v>
      </c>
      <c r="D5580" s="4" t="str">
        <f>HYPERLINK("https://12go.asia/en/travel/mathura/nashik", "12Go Link")</f>
        <v>12Go Link</v>
      </c>
      <c r="E5580" s="3" t="s">
        <v>94</v>
      </c>
      <c r="K5580" s="5"/>
    </row>
    <row r="5581">
      <c r="A5581" s="3" t="s">
        <v>167</v>
      </c>
      <c r="B5581" s="3" t="s">
        <v>3970</v>
      </c>
      <c r="C5581" s="3" t="s">
        <v>5611</v>
      </c>
      <c r="D5581" s="4" t="str">
        <f>HYPERLINK("https://12go.asia/en/travel/mathura/navi-mumbai", "12Go Link")</f>
        <v>12Go Link</v>
      </c>
      <c r="E5581" s="3" t="s">
        <v>94</v>
      </c>
      <c r="K5581" s="5"/>
    </row>
    <row r="5582">
      <c r="A5582" s="3" t="s">
        <v>167</v>
      </c>
      <c r="B5582" s="3" t="s">
        <v>3752</v>
      </c>
      <c r="C5582" s="3" t="s">
        <v>5612</v>
      </c>
      <c r="D5582" s="4" t="str">
        <f>HYPERLINK("https://12go.asia/en/travel/mathura/prayagraj", "12Go Link")</f>
        <v>12Go Link</v>
      </c>
      <c r="E5582" s="3" t="s">
        <v>94</v>
      </c>
      <c r="K5582" s="5"/>
    </row>
    <row r="5583">
      <c r="A5583" s="3" t="s">
        <v>167</v>
      </c>
      <c r="B5583" s="3" t="s">
        <v>3919</v>
      </c>
      <c r="C5583" s="3" t="s">
        <v>5613</v>
      </c>
      <c r="D5583" s="4" t="str">
        <f>HYPERLINK("https://12go.asia/en/travel/mathura-jn/pune-jn", "12Go Link")</f>
        <v>12Go Link</v>
      </c>
      <c r="E5583" s="3" t="s">
        <v>94</v>
      </c>
      <c r="K5583" s="5"/>
    </row>
    <row r="5584">
      <c r="A5584" s="3" t="s">
        <v>167</v>
      </c>
      <c r="B5584" s="3" t="s">
        <v>3919</v>
      </c>
      <c r="C5584" s="3" t="s">
        <v>5614</v>
      </c>
      <c r="D5584" s="4" t="str">
        <f>HYPERLINK("https://12go.asia/en/travel/mathura/pune", "12Go Link")</f>
        <v>12Go Link</v>
      </c>
      <c r="E5584" s="3" t="s">
        <v>94</v>
      </c>
      <c r="K5584" s="5"/>
    </row>
    <row r="5585">
      <c r="A5585" s="3" t="s">
        <v>167</v>
      </c>
      <c r="B5585" s="3" t="s">
        <v>4198</v>
      </c>
      <c r="C5585" s="3" t="s">
        <v>5615</v>
      </c>
      <c r="D5585" s="4" t="str">
        <f>HYPERLINK("https://12go.asia/en/travel/mathura-jn/siwan-junction", "12Go Link")</f>
        <v>12Go Link</v>
      </c>
      <c r="E5585" s="3" t="s">
        <v>94</v>
      </c>
      <c r="K5585" s="5"/>
    </row>
    <row r="5586">
      <c r="A5586" s="3" t="s">
        <v>4796</v>
      </c>
      <c r="B5586" s="3" t="s">
        <v>4511</v>
      </c>
      <c r="C5586" s="3" t="s">
        <v>5616</v>
      </c>
      <c r="D5586" s="4" t="str">
        <f>HYPERLINK("https://12go.asia/en/travel/mau-junction/jaunpur-junction", "12Go Link")</f>
        <v>12Go Link</v>
      </c>
      <c r="E5586" s="3" t="s">
        <v>94</v>
      </c>
      <c r="K5586" s="5"/>
    </row>
    <row r="5587">
      <c r="A5587" s="3" t="s">
        <v>4796</v>
      </c>
      <c r="B5587" s="3" t="s">
        <v>4511</v>
      </c>
      <c r="C5587" s="3" t="s">
        <v>5617</v>
      </c>
      <c r="D5587" s="4" t="str">
        <f>HYPERLINK("https://12go.asia/en/travel/mau/jaunpur", "12Go Link")</f>
        <v>12Go Link</v>
      </c>
      <c r="E5587" s="3" t="s">
        <v>94</v>
      </c>
      <c r="K5587" s="5"/>
    </row>
    <row r="5588">
      <c r="A5588" s="3" t="s">
        <v>4796</v>
      </c>
      <c r="B5588" s="3" t="s">
        <v>4106</v>
      </c>
      <c r="C5588" s="3" t="s">
        <v>5618</v>
      </c>
      <c r="D5588" s="4" t="str">
        <f>HYPERLINK("https://12go.asia/en/travel/mau-junction/tundla-junction", "12Go Link")</f>
        <v>12Go Link</v>
      </c>
      <c r="E5588" s="3" t="s">
        <v>94</v>
      </c>
      <c r="K5588" s="5"/>
    </row>
    <row r="5589">
      <c r="A5589" s="3" t="s">
        <v>4796</v>
      </c>
      <c r="B5589" s="3" t="s">
        <v>4106</v>
      </c>
      <c r="C5589" s="3" t="s">
        <v>5619</v>
      </c>
      <c r="D5589" s="4" t="str">
        <f>HYPERLINK("https://12go.asia/en/travel/mau/tundla", "12Go Link")</f>
        <v>12Go Link</v>
      </c>
      <c r="E5589" s="3" t="s">
        <v>94</v>
      </c>
      <c r="K5589" s="5"/>
    </row>
    <row r="5590">
      <c r="A5590" s="3" t="s">
        <v>4796</v>
      </c>
      <c r="B5590" s="3" t="s">
        <v>3666</v>
      </c>
      <c r="C5590" s="3" t="s">
        <v>5620</v>
      </c>
      <c r="D5590" s="4" t="str">
        <f>HYPERLINK("https://12go.asia/en/travel/mau-junction/banaras", "12Go Link")</f>
        <v>12Go Link</v>
      </c>
      <c r="E5590" s="3" t="s">
        <v>94</v>
      </c>
      <c r="K5590" s="5"/>
    </row>
    <row r="5591">
      <c r="A5591" s="3" t="s">
        <v>4796</v>
      </c>
      <c r="B5591" s="3" t="s">
        <v>3666</v>
      </c>
      <c r="C5591" s="3" t="s">
        <v>5621</v>
      </c>
      <c r="D5591" s="4" t="str">
        <f>HYPERLINK("https://12go.asia/en/travel/mau-junction/varanasi-jn", "12Go Link")</f>
        <v>12Go Link</v>
      </c>
      <c r="E5591" s="3" t="s">
        <v>94</v>
      </c>
      <c r="K5591" s="5"/>
    </row>
    <row r="5592">
      <c r="A5592" s="3" t="s">
        <v>4796</v>
      </c>
      <c r="B5592" s="3" t="s">
        <v>3666</v>
      </c>
      <c r="C5592" s="3" t="s">
        <v>5622</v>
      </c>
      <c r="D5592" s="4" t="str">
        <f>HYPERLINK("https://12go.asia/en/travel/mau/varanasi", "12Go Link")</f>
        <v>12Go Link</v>
      </c>
      <c r="E5592" s="3" t="s">
        <v>94</v>
      </c>
      <c r="K5592" s="5"/>
    </row>
    <row r="5593">
      <c r="A5593" s="3" t="s">
        <v>5623</v>
      </c>
      <c r="B5593" s="3" t="s">
        <v>3578</v>
      </c>
      <c r="C5593" s="3" t="s">
        <v>5624</v>
      </c>
      <c r="D5593" s="4" t="str">
        <f>HYPERLINK("https://12go.asia/en/travel/mauranipur/abhaneri", "12Go Link")</f>
        <v>12Go Link</v>
      </c>
      <c r="E5593" s="3" t="s">
        <v>94</v>
      </c>
      <c r="K5593" s="5"/>
    </row>
    <row r="5594">
      <c r="A5594" s="3" t="s">
        <v>5623</v>
      </c>
      <c r="B5594" s="3" t="s">
        <v>3619</v>
      </c>
      <c r="C5594" s="3" t="s">
        <v>5625</v>
      </c>
      <c r="D5594" s="4" t="str">
        <f>HYPERLINK("https://12go.asia/en/travel/mau-ranipur/bandikui-junction", "12Go Link")</f>
        <v>12Go Link</v>
      </c>
      <c r="E5594" s="3" t="s">
        <v>94</v>
      </c>
      <c r="K5594" s="5"/>
    </row>
    <row r="5595">
      <c r="A5595" s="3" t="s">
        <v>5623</v>
      </c>
      <c r="B5595" s="3" t="s">
        <v>3619</v>
      </c>
      <c r="C5595" s="3" t="s">
        <v>5626</v>
      </c>
      <c r="D5595" s="4" t="str">
        <f>HYPERLINK("https://12go.asia/en/travel/mauranipur/bandikui", "12Go Link")</f>
        <v>12Go Link</v>
      </c>
      <c r="E5595" s="3" t="s">
        <v>94</v>
      </c>
      <c r="K5595" s="5"/>
    </row>
    <row r="5596">
      <c r="A5596" s="3" t="s">
        <v>3912</v>
      </c>
      <c r="B5596" s="3" t="s">
        <v>3847</v>
      </c>
      <c r="C5596" s="3" t="s">
        <v>5627</v>
      </c>
      <c r="D5596" s="4" t="str">
        <f>HYPERLINK("https://12go.asia/en/travel/mavelikara/new-bengaluru-terminal", "12Go Link")</f>
        <v>12Go Link</v>
      </c>
      <c r="E5596" s="3" t="s">
        <v>94</v>
      </c>
      <c r="K5596" s="5"/>
    </row>
    <row r="5597">
      <c r="A5597" s="3" t="s">
        <v>3912</v>
      </c>
      <c r="B5597" s="3" t="s">
        <v>4158</v>
      </c>
      <c r="C5597" s="3" t="s">
        <v>5628</v>
      </c>
      <c r="D5597" s="4" t="str">
        <f>HYPERLINK("https://12go.asia/en/travel/haripad/ernakulam", "12Go Link")</f>
        <v>12Go Link</v>
      </c>
      <c r="E5597" s="3" t="s">
        <v>8</v>
      </c>
      <c r="K5597" s="5"/>
    </row>
    <row r="5598">
      <c r="A5598" s="3" t="s">
        <v>3912</v>
      </c>
      <c r="B5598" s="3" t="s">
        <v>5446</v>
      </c>
      <c r="C5598" s="3" t="s">
        <v>5629</v>
      </c>
      <c r="D5598" s="4" t="str">
        <f>HYPERLINK("https://12go.asia/en/travel/mavelikara/kozhikode", "12Go Link")</f>
        <v>12Go Link</v>
      </c>
      <c r="E5598" s="3" t="s">
        <v>94</v>
      </c>
      <c r="K5598" s="5"/>
    </row>
    <row r="5599">
      <c r="A5599" s="3" t="s">
        <v>5630</v>
      </c>
      <c r="B5599" s="3" t="s">
        <v>5600</v>
      </c>
      <c r="C5599" s="3" t="s">
        <v>5631</v>
      </c>
      <c r="D5599" s="4" t="str">
        <f>HYPERLINK("https://12go.asia/en/travel/mavli-junction/chittaurgarh", "12Go Link")</f>
        <v>12Go Link</v>
      </c>
      <c r="E5599" s="3" t="s">
        <v>94</v>
      </c>
      <c r="K5599" s="5"/>
    </row>
    <row r="5600">
      <c r="A5600" s="3" t="s">
        <v>5630</v>
      </c>
      <c r="B5600" s="3" t="s">
        <v>5600</v>
      </c>
      <c r="C5600" s="3" t="s">
        <v>5632</v>
      </c>
      <c r="D5600" s="4" t="str">
        <f>HYPERLINK("https://12go.asia/en/travel/mavli/chittorgarh", "12Go Link")</f>
        <v>12Go Link</v>
      </c>
      <c r="E5600" s="3" t="s">
        <v>94</v>
      </c>
      <c r="K5600" s="5"/>
    </row>
    <row r="5601">
      <c r="A5601" s="3" t="s">
        <v>5633</v>
      </c>
      <c r="B5601" s="3" t="s">
        <v>4635</v>
      </c>
      <c r="C5601" s="3" t="s">
        <v>5634</v>
      </c>
      <c r="D5601" s="4" t="str">
        <f>HYPERLINK("https://12go.asia/en/travel/mayiladuthurai/tirunelveli", "12Go Link")</f>
        <v>12Go Link</v>
      </c>
      <c r="E5601" s="3" t="s">
        <v>94</v>
      </c>
      <c r="K5601" s="5"/>
    </row>
    <row r="5602">
      <c r="A5602" s="3" t="s">
        <v>5633</v>
      </c>
      <c r="B5602" s="3" t="s">
        <v>4635</v>
      </c>
      <c r="C5602" s="3" t="s">
        <v>5635</v>
      </c>
      <c r="D5602" s="4" t="str">
        <f>HYPERLINK("https://12go.asia/en/travel/mayiladuturai-jn/tirunelveli", "12Go Link")</f>
        <v>12Go Link</v>
      </c>
      <c r="E5602" s="3" t="s">
        <v>94</v>
      </c>
      <c r="K5602" s="5"/>
    </row>
    <row r="5603">
      <c r="A5603" s="3" t="s">
        <v>3671</v>
      </c>
      <c r="B5603" s="3" t="s">
        <v>3646</v>
      </c>
      <c r="C5603" s="3" t="s">
        <v>5636</v>
      </c>
      <c r="D5603" s="4" t="str">
        <f>HYPERLINK("https://12go.asia/en/travel/meerut-city/aligarh-junction", "12Go Link")</f>
        <v>12Go Link</v>
      </c>
      <c r="E5603" s="3" t="s">
        <v>94</v>
      </c>
      <c r="K5603" s="5"/>
    </row>
    <row r="5604">
      <c r="A5604" s="3" t="s">
        <v>3671</v>
      </c>
      <c r="B5604" s="3" t="s">
        <v>3646</v>
      </c>
      <c r="C5604" s="3" t="s">
        <v>5637</v>
      </c>
      <c r="D5604" s="4" t="str">
        <f>HYPERLINK("https://12go.asia/en/travel/meerut/aligarh", "12Go Link")</f>
        <v>12Go Link</v>
      </c>
      <c r="E5604" s="3" t="s">
        <v>94</v>
      </c>
      <c r="K5604" s="5"/>
    </row>
    <row r="5605">
      <c r="A5605" s="3" t="s">
        <v>3671</v>
      </c>
      <c r="B5605" s="3" t="s">
        <v>4225</v>
      </c>
      <c r="C5605" s="3" t="s">
        <v>5638</v>
      </c>
      <c r="D5605" s="4" t="str">
        <f>HYPERLINK("https://12go.asia/en/travel/meerut-city/indore-jn-bg", "12Go Link")</f>
        <v>12Go Link</v>
      </c>
      <c r="E5605" s="3" t="s">
        <v>94</v>
      </c>
      <c r="K5605" s="5"/>
    </row>
    <row r="5606">
      <c r="A5606" s="3" t="s">
        <v>3671</v>
      </c>
      <c r="B5606" s="3" t="s">
        <v>4225</v>
      </c>
      <c r="C5606" s="3" t="s">
        <v>5639</v>
      </c>
      <c r="D5606" s="4" t="str">
        <f>HYPERLINK("https://12go.asia/en/travel/meerut/indore", "12Go Link")</f>
        <v>12Go Link</v>
      </c>
      <c r="E5606" s="3" t="s">
        <v>94</v>
      </c>
      <c r="K5606" s="5"/>
    </row>
    <row r="5607">
      <c r="A5607" s="3" t="s">
        <v>3671</v>
      </c>
      <c r="B5607" s="3" t="s">
        <v>3805</v>
      </c>
      <c r="C5607" s="3" t="s">
        <v>5640</v>
      </c>
      <c r="D5607" s="4" t="str">
        <f>HYPERLINK("https://12go.asia/en/travel/meerut-city/virangana-lakshmibai", "12Go Link")</f>
        <v>12Go Link</v>
      </c>
      <c r="E5607" s="3" t="s">
        <v>94</v>
      </c>
      <c r="K5607" s="5"/>
    </row>
    <row r="5608">
      <c r="A5608" s="3" t="s">
        <v>3671</v>
      </c>
      <c r="B5608" s="3" t="s">
        <v>3805</v>
      </c>
      <c r="C5608" s="3" t="s">
        <v>5641</v>
      </c>
      <c r="D5608" s="4" t="str">
        <f>HYPERLINK("https://12go.asia/en/travel/meerut/jhansi", "12Go Link")</f>
        <v>12Go Link</v>
      </c>
      <c r="E5608" s="3" t="s">
        <v>94</v>
      </c>
      <c r="K5608" s="5"/>
    </row>
    <row r="5609">
      <c r="A5609" s="3" t="s">
        <v>3671</v>
      </c>
      <c r="B5609" s="3" t="s">
        <v>3752</v>
      </c>
      <c r="C5609" s="3" t="s">
        <v>5642</v>
      </c>
      <c r="D5609" s="4" t="str">
        <f>HYPERLINK("https://12go.asia/en/travel/meerut-city/subedarganj", "12Go Link")</f>
        <v>12Go Link</v>
      </c>
      <c r="E5609" s="3" t="s">
        <v>94</v>
      </c>
      <c r="K5609" s="5"/>
    </row>
    <row r="5610">
      <c r="A5610" s="3" t="s">
        <v>3671</v>
      </c>
      <c r="B5610" s="3" t="s">
        <v>3752</v>
      </c>
      <c r="C5610" s="3" t="s">
        <v>5643</v>
      </c>
      <c r="D5610" s="4" t="str">
        <f>HYPERLINK("https://12go.asia/en/travel/meerut/prayagraj", "12Go Link")</f>
        <v>12Go Link</v>
      </c>
      <c r="E5610" s="3" t="s">
        <v>94</v>
      </c>
      <c r="K5610" s="5"/>
    </row>
    <row r="5611">
      <c r="A5611" s="3" t="s">
        <v>3671</v>
      </c>
      <c r="B5611" s="3" t="s">
        <v>5644</v>
      </c>
      <c r="C5611" s="3" t="s">
        <v>5645</v>
      </c>
      <c r="D5611" s="4" t="str">
        <f>HYPERLINK("https://12go.asia/en/travel/meerut-city/shahjehanpur", "12Go Link")</f>
        <v>12Go Link</v>
      </c>
      <c r="E5611" s="3" t="s">
        <v>94</v>
      </c>
      <c r="K5611" s="5"/>
    </row>
    <row r="5612">
      <c r="A5612" s="3" t="s">
        <v>3671</v>
      </c>
      <c r="B5612" s="3" t="s">
        <v>5644</v>
      </c>
      <c r="C5612" s="3" t="s">
        <v>5646</v>
      </c>
      <c r="D5612" s="4" t="str">
        <f>HYPERLINK("https://12go.asia/en/travel/meerut/shahjehanpur", "12Go Link")</f>
        <v>12Go Link</v>
      </c>
      <c r="E5612" s="3" t="s">
        <v>94</v>
      </c>
      <c r="K5612" s="5"/>
    </row>
    <row r="5613">
      <c r="A5613" s="3" t="s">
        <v>3671</v>
      </c>
      <c r="B5613" s="3" t="s">
        <v>3776</v>
      </c>
      <c r="C5613" s="3" t="s">
        <v>5647</v>
      </c>
      <c r="D5613" s="4" t="str">
        <f>HYPERLINK("https://12go.asia/en/travel/meerut-city/ujjain", "12Go Link")</f>
        <v>12Go Link</v>
      </c>
      <c r="E5613" s="3" t="s">
        <v>94</v>
      </c>
      <c r="K5613" s="5"/>
    </row>
    <row r="5614">
      <c r="A5614" s="3" t="s">
        <v>3671</v>
      </c>
      <c r="B5614" s="3" t="s">
        <v>3776</v>
      </c>
      <c r="C5614" s="3" t="s">
        <v>5648</v>
      </c>
      <c r="D5614" s="4" t="str">
        <f>HYPERLINK("https://12go.asia/en/travel/meerut/ujjain", "12Go Link")</f>
        <v>12Go Link</v>
      </c>
      <c r="E5614" s="3" t="s">
        <v>94</v>
      </c>
      <c r="K5614" s="5"/>
    </row>
    <row r="5615">
      <c r="A5615" s="3" t="s">
        <v>4264</v>
      </c>
      <c r="B5615" s="3" t="s">
        <v>3647</v>
      </c>
      <c r="C5615" s="3" t="s">
        <v>5649</v>
      </c>
      <c r="D5615" s="4" t="str">
        <f>HYPERLINK("https://12go.asia/en/travel/mahesana-junction/delhi", "12Go Link")</f>
        <v>12Go Link</v>
      </c>
      <c r="E5615" s="3" t="s">
        <v>94</v>
      </c>
      <c r="K5615" s="5"/>
    </row>
    <row r="5616">
      <c r="A5616" s="3" t="s">
        <v>4264</v>
      </c>
      <c r="B5616" s="3" t="s">
        <v>3647</v>
      </c>
      <c r="C5616" s="3" t="s">
        <v>5650</v>
      </c>
      <c r="D5616" s="4" t="str">
        <f>HYPERLINK("https://12go.asia/en/travel/mahesana-junction/delhi-shahdara-jn", "12Go Link")</f>
        <v>12Go Link</v>
      </c>
      <c r="E5616" s="3" t="s">
        <v>94</v>
      </c>
      <c r="K5616" s="5"/>
    </row>
    <row r="5617">
      <c r="A5617" s="3" t="s">
        <v>4264</v>
      </c>
      <c r="B5617" s="3" t="s">
        <v>5651</v>
      </c>
      <c r="C5617" s="3" t="s">
        <v>5652</v>
      </c>
      <c r="D5617" s="4" t="str">
        <f>HYPERLINK("https://12go.asia/en/travel/mahesana-junction/nadiad-junction", "12Go Link")</f>
        <v>12Go Link</v>
      </c>
      <c r="E5617" s="3" t="s">
        <v>94</v>
      </c>
      <c r="K5617" s="5"/>
    </row>
    <row r="5618">
      <c r="A5618" s="3" t="s">
        <v>4264</v>
      </c>
      <c r="B5618" s="3" t="s">
        <v>3970</v>
      </c>
      <c r="C5618" s="3" t="s">
        <v>5653</v>
      </c>
      <c r="D5618" s="4" t="str">
        <f>HYPERLINK("https://12go.asia/en/travel/mehsana/navi-mumbai", "12Go Link")</f>
        <v>12Go Link</v>
      </c>
      <c r="E5618" s="3" t="s">
        <v>94</v>
      </c>
      <c r="K5618" s="5"/>
    </row>
    <row r="5619">
      <c r="A5619" s="3" t="s">
        <v>4264</v>
      </c>
      <c r="B5619" s="3" t="s">
        <v>3842</v>
      </c>
      <c r="C5619" s="3" t="s">
        <v>5654</v>
      </c>
      <c r="D5619" s="4" t="str">
        <f>HYPERLINK("https://12go.asia/en/travel/mahesana-junction/new-delhi", "12Go Link")</f>
        <v>12Go Link</v>
      </c>
      <c r="E5619" s="3" t="s">
        <v>94</v>
      </c>
      <c r="K5619" s="5"/>
    </row>
    <row r="5620">
      <c r="A5620" s="3" t="s">
        <v>4264</v>
      </c>
      <c r="B5620" s="3" t="s">
        <v>3635</v>
      </c>
      <c r="C5620" s="3" t="s">
        <v>5655</v>
      </c>
      <c r="D5620" s="4" t="str">
        <f>HYPERLINK("https://12go.asia/en/travel/mahesana-junction/sabarmati-junction", "12Go Link")</f>
        <v>12Go Link</v>
      </c>
      <c r="E5620" s="3" t="s">
        <v>94</v>
      </c>
      <c r="K5620" s="5"/>
    </row>
    <row r="5621">
      <c r="A5621" s="3" t="s">
        <v>4264</v>
      </c>
      <c r="B5621" s="3" t="s">
        <v>3635</v>
      </c>
      <c r="C5621" s="3" t="s">
        <v>5656</v>
      </c>
      <c r="D5621" s="4" t="str">
        <f>HYPERLINK("https://12go.asia/en/travel/mehsana/sabarmati", "12Go Link")</f>
        <v>12Go Link</v>
      </c>
      <c r="E5621" s="3" t="s">
        <v>94</v>
      </c>
      <c r="K5621" s="5"/>
    </row>
    <row r="5622">
      <c r="A5622" s="3" t="s">
        <v>5657</v>
      </c>
      <c r="B5622" s="3" t="s">
        <v>4225</v>
      </c>
      <c r="C5622" s="3" t="s">
        <v>5658</v>
      </c>
      <c r="D5622" s="4" t="str">
        <f>HYPERLINK("https://12go.asia/en/travel/merta-city/indore", "12Go Link")</f>
        <v>12Go Link</v>
      </c>
      <c r="E5622" s="3" t="s">
        <v>94</v>
      </c>
      <c r="K5622" s="5"/>
    </row>
    <row r="5623">
      <c r="A5623" s="3" t="s">
        <v>5657</v>
      </c>
      <c r="B5623" s="3" t="s">
        <v>4225</v>
      </c>
      <c r="C5623" s="3" t="s">
        <v>5659</v>
      </c>
      <c r="D5623" s="4" t="str">
        <f>HYPERLINK("https://12go.asia/en/travel/merta-road-junction/indore-jn-bg", "12Go Link")</f>
        <v>12Go Link</v>
      </c>
      <c r="E5623" s="3" t="s">
        <v>94</v>
      </c>
      <c r="K5623" s="5"/>
    </row>
    <row r="5624">
      <c r="A5624" s="3" t="s">
        <v>5657</v>
      </c>
      <c r="B5624" s="3" t="s">
        <v>3633</v>
      </c>
      <c r="C5624" s="3" t="s">
        <v>5660</v>
      </c>
      <c r="D5624" s="4" t="str">
        <f>HYPERLINK("https://12go.asia/en/travel/merta-road-junction/suratgarh-junction", "12Go Link")</f>
        <v>12Go Link</v>
      </c>
      <c r="E5624" s="3" t="s">
        <v>94</v>
      </c>
      <c r="K5624" s="5"/>
    </row>
    <row r="5625">
      <c r="A5625" s="3" t="s">
        <v>170</v>
      </c>
      <c r="B5625" s="3" t="s">
        <v>5661</v>
      </c>
      <c r="C5625" s="3" t="s">
        <v>5662</v>
      </c>
      <c r="D5625" s="4" t="str">
        <f>HYPERLINK("https://12go.asia/en/travel/miraj/arsikere", "12Go Link")</f>
        <v>12Go Link</v>
      </c>
      <c r="E5625" s="3" t="s">
        <v>94</v>
      </c>
      <c r="K5625" s="5"/>
    </row>
    <row r="5626">
      <c r="A5626" s="3" t="s">
        <v>170</v>
      </c>
      <c r="B5626" s="3" t="s">
        <v>5536</v>
      </c>
      <c r="C5626" s="3" t="s">
        <v>5663</v>
      </c>
      <c r="D5626" s="4" t="str">
        <f>HYPERLINK("https://12go.asia/en/travel/miraj/kolhapur", "12Go Link")</f>
        <v>12Go Link</v>
      </c>
      <c r="E5626" s="3" t="s">
        <v>94</v>
      </c>
      <c r="K5626" s="5"/>
    </row>
    <row r="5627">
      <c r="A5627" s="3" t="s">
        <v>5664</v>
      </c>
      <c r="B5627" s="3" t="s">
        <v>3647</v>
      </c>
      <c r="C5627" s="3" t="s">
        <v>5665</v>
      </c>
      <c r="D5627" s="4" t="str">
        <f>HYPERLINK("https://12go.asia/en/travel/mirzapur/anand-vihar-trm", "12Go Link")</f>
        <v>12Go Link</v>
      </c>
      <c r="E5627" s="3" t="s">
        <v>94</v>
      </c>
      <c r="K5627" s="5"/>
    </row>
    <row r="5628">
      <c r="A5628" s="3" t="s">
        <v>5664</v>
      </c>
      <c r="B5628" s="3" t="s">
        <v>3647</v>
      </c>
      <c r="C5628" s="3" t="s">
        <v>5666</v>
      </c>
      <c r="D5628" s="4" t="str">
        <f>HYPERLINK("https://12go.asia/en/travel/mirzapur/sabzi-mandi", "12Go Link")</f>
        <v>12Go Link</v>
      </c>
      <c r="E5628" s="3" t="s">
        <v>94</v>
      </c>
      <c r="K5628" s="5"/>
    </row>
    <row r="5629">
      <c r="A5629" s="3" t="s">
        <v>4901</v>
      </c>
      <c r="B5629" s="3" t="s">
        <v>4501</v>
      </c>
      <c r="C5629" s="3" t="s">
        <v>5667</v>
      </c>
      <c r="D5629" s="4" t="str">
        <f>HYPERLINK("https://12go.asia/en/travel/moradabad/gajraula", "12Go Link")</f>
        <v>12Go Link</v>
      </c>
      <c r="E5629" s="3" t="s">
        <v>94</v>
      </c>
      <c r="K5629" s="5"/>
    </row>
    <row r="5630">
      <c r="A5630" s="3" t="s">
        <v>4901</v>
      </c>
      <c r="B5630" s="3" t="s">
        <v>4501</v>
      </c>
      <c r="C5630" s="3" t="s">
        <v>5668</v>
      </c>
      <c r="D5630" s="4" t="str">
        <f>HYPERLINK("https://12go.asia/en/travel/moradabad/gajraula-junction", "12Go Link")</f>
        <v>12Go Link</v>
      </c>
      <c r="E5630" s="3" t="s">
        <v>94</v>
      </c>
      <c r="K5630" s="5"/>
    </row>
    <row r="5631">
      <c r="A5631" s="3" t="s">
        <v>4901</v>
      </c>
      <c r="B5631" s="3" t="s">
        <v>4384</v>
      </c>
      <c r="C5631" s="3" t="s">
        <v>5669</v>
      </c>
      <c r="D5631" s="4" t="str">
        <f>HYPERLINK("https://12go.asia/en/travel/moradabad/gorakhpur", "12Go Link")</f>
        <v>12Go Link</v>
      </c>
      <c r="E5631" s="3" t="s">
        <v>94</v>
      </c>
      <c r="K5631" s="5"/>
    </row>
    <row r="5632">
      <c r="A5632" s="3" t="s">
        <v>4901</v>
      </c>
      <c r="B5632" s="3" t="s">
        <v>5670</v>
      </c>
      <c r="C5632" s="3" t="s">
        <v>5671</v>
      </c>
      <c r="D5632" s="4" t="str">
        <f>HYPERLINK("https://12go.asia/en/travel/moradabad/kashipur", "12Go Link")</f>
        <v>12Go Link</v>
      </c>
      <c r="E5632" s="3" t="s">
        <v>94</v>
      </c>
      <c r="K5632" s="5"/>
    </row>
    <row r="5633">
      <c r="A5633" s="3" t="s">
        <v>4267</v>
      </c>
      <c r="B5633" s="3" t="s">
        <v>3647</v>
      </c>
      <c r="C5633" s="3" t="s">
        <v>5672</v>
      </c>
      <c r="D5633" s="4" t="str">
        <f>HYPERLINK("https://12go.asia/en/travel/abu-road/delhi-sarai-rohilla", "12Go Link")</f>
        <v>12Go Link</v>
      </c>
      <c r="E5633" s="3" t="s">
        <v>94</v>
      </c>
      <c r="K5633" s="5"/>
    </row>
    <row r="5634">
      <c r="A5634" s="3" t="s">
        <v>4267</v>
      </c>
      <c r="B5634" s="3" t="s">
        <v>3647</v>
      </c>
      <c r="C5634" s="3" t="s">
        <v>5673</v>
      </c>
      <c r="D5634" s="4" t="str">
        <f>HYPERLINK("https://12go.asia/en/travel/abu-road/delhi-shahdara-jn", "12Go Link")</f>
        <v>12Go Link</v>
      </c>
      <c r="E5634" s="3" t="s">
        <v>94</v>
      </c>
      <c r="K5634" s="5"/>
    </row>
    <row r="5635">
      <c r="A5635" s="3" t="s">
        <v>4267</v>
      </c>
      <c r="B5635" s="3" t="s">
        <v>3842</v>
      </c>
      <c r="C5635" s="3" t="s">
        <v>5674</v>
      </c>
      <c r="D5635" s="4" t="str">
        <f>HYPERLINK("https://12go.asia/en/travel/abu-road/new-delhi", "12Go Link")</f>
        <v>12Go Link</v>
      </c>
      <c r="E5635" s="3" t="s">
        <v>94</v>
      </c>
      <c r="K5635" s="5"/>
    </row>
    <row r="5636">
      <c r="A5636" s="3" t="s">
        <v>3690</v>
      </c>
      <c r="B5636" s="3" t="s">
        <v>3643</v>
      </c>
      <c r="C5636" s="3" t="s">
        <v>5675</v>
      </c>
      <c r="D5636" s="4" t="str">
        <f>HYPERLINK("https://12go.asia/en/travel/mumbai-cst/alappuzha", "12Go Link")</f>
        <v>12Go Link</v>
      </c>
      <c r="E5636" s="3" t="s">
        <v>94</v>
      </c>
      <c r="K5636" s="5"/>
    </row>
    <row r="5637">
      <c r="A5637" s="3" t="s">
        <v>3690</v>
      </c>
      <c r="B5637" s="3" t="s">
        <v>3847</v>
      </c>
      <c r="C5637" s="3" t="s">
        <v>5676</v>
      </c>
      <c r="D5637" s="4" t="str">
        <f>HYPERLINK("https://12go.asia/en/travel/mumbai-dadar/new-bengaluru-terminal", "12Go Link")</f>
        <v>12Go Link</v>
      </c>
      <c r="E5637" s="3" t="s">
        <v>94</v>
      </c>
      <c r="K5637" s="5"/>
    </row>
    <row r="5638">
      <c r="A5638" s="3" t="s">
        <v>3690</v>
      </c>
      <c r="B5638" s="3" t="s">
        <v>4036</v>
      </c>
      <c r="C5638" s="3" t="s">
        <v>5677</v>
      </c>
      <c r="D5638" s="4" t="str">
        <f>HYPERLINK("https://12go.asia/en/travel/lokmanya-tilak-term/bhilai-power-house", "12Go Link")</f>
        <v>12Go Link</v>
      </c>
      <c r="E5638" s="3" t="s">
        <v>94</v>
      </c>
      <c r="K5638" s="5"/>
    </row>
    <row r="5639">
      <c r="A5639" s="3" t="s">
        <v>3690</v>
      </c>
      <c r="B5639" s="3" t="s">
        <v>4573</v>
      </c>
      <c r="C5639" s="3" t="s">
        <v>5678</v>
      </c>
      <c r="D5639" s="4" t="str">
        <f>HYPERLINK("https://12go.asia/en/travel/mumbai-cst/dhanbad-junction", "12Go Link")</f>
        <v>12Go Link</v>
      </c>
      <c r="E5639" s="3" t="s">
        <v>94</v>
      </c>
      <c r="K5639" s="5"/>
    </row>
    <row r="5640">
      <c r="A5640" s="3" t="s">
        <v>3690</v>
      </c>
      <c r="B5640" s="3" t="s">
        <v>4573</v>
      </c>
      <c r="C5640" s="3" t="s">
        <v>5679</v>
      </c>
      <c r="D5640" s="4" t="str">
        <f>HYPERLINK("https://12go.asia/en/travel/mumbai/dhanbad", "12Go Link")</f>
        <v>12Go Link</v>
      </c>
      <c r="E5640" s="3" t="s">
        <v>94</v>
      </c>
      <c r="K5640" s="5"/>
    </row>
    <row r="5641">
      <c r="A5641" s="3" t="s">
        <v>3690</v>
      </c>
      <c r="B5641" s="3" t="s">
        <v>5680</v>
      </c>
      <c r="C5641" s="3" t="s">
        <v>5681</v>
      </c>
      <c r="D5641" s="4" t="str">
        <f>HYPERLINK("https://12go.asia/en/travel/mumbai-cst/dhule", "12Go Link")</f>
        <v>12Go Link</v>
      </c>
      <c r="E5641" s="3" t="s">
        <v>94</v>
      </c>
      <c r="K5641" s="5"/>
    </row>
    <row r="5642">
      <c r="A5642" s="3" t="s">
        <v>3690</v>
      </c>
      <c r="B5642" s="3" t="s">
        <v>3649</v>
      </c>
      <c r="C5642" s="3" t="s">
        <v>5682</v>
      </c>
      <c r="D5642" s="4" t="str">
        <f>HYPERLINK("https://12go.asia/en/travel/lokmanya-tilak-term/ayodhya-cantt", "12Go Link")</f>
        <v>12Go Link</v>
      </c>
      <c r="E5642" s="3" t="s">
        <v>94</v>
      </c>
      <c r="K5642" s="5"/>
    </row>
    <row r="5643">
      <c r="A5643" s="3" t="s">
        <v>3690</v>
      </c>
      <c r="B5643" s="3" t="s">
        <v>4694</v>
      </c>
      <c r="C5643" s="3" t="s">
        <v>5683</v>
      </c>
      <c r="D5643" s="4" t="str">
        <f>HYPERLINK("https://12go.asia/en/travel/lokmanya-tilak-term/ghazipur-city", "12Go Link")</f>
        <v>12Go Link</v>
      </c>
      <c r="E5643" s="3" t="s">
        <v>94</v>
      </c>
      <c r="K5643" s="5"/>
    </row>
    <row r="5644">
      <c r="A5644" s="3" t="s">
        <v>3690</v>
      </c>
      <c r="B5644" s="3" t="s">
        <v>4694</v>
      </c>
      <c r="C5644" s="3" t="s">
        <v>5684</v>
      </c>
      <c r="D5644" s="4" t="str">
        <f>HYPERLINK("https://12go.asia/en/travel/mumbai/ghazipur", "12Go Link")</f>
        <v>12Go Link</v>
      </c>
      <c r="E5644" s="3" t="s">
        <v>94</v>
      </c>
      <c r="K5644" s="5"/>
    </row>
    <row r="5645">
      <c r="A5645" s="3" t="s">
        <v>3690</v>
      </c>
      <c r="B5645" s="3" t="s">
        <v>5685</v>
      </c>
      <c r="C5645" s="3" t="s">
        <v>5686</v>
      </c>
      <c r="D5645" s="4" t="str">
        <f>HYPERLINK("https://12go.asia/en/travel/mumbai-cst/hazaribagh-road", "12Go Link")</f>
        <v>12Go Link</v>
      </c>
      <c r="E5645" s="3" t="s">
        <v>94</v>
      </c>
      <c r="K5645" s="5"/>
    </row>
    <row r="5646">
      <c r="A5646" s="3" t="s">
        <v>3690</v>
      </c>
      <c r="B5646" s="3" t="s">
        <v>5685</v>
      </c>
      <c r="C5646" s="3" t="s">
        <v>5687</v>
      </c>
      <c r="D5646" s="4" t="str">
        <f>HYPERLINK("https://12go.asia/en/travel/mumbai/hazaribagh-road", "12Go Link")</f>
        <v>12Go Link</v>
      </c>
      <c r="E5646" s="3" t="s">
        <v>94</v>
      </c>
      <c r="K5646" s="5"/>
    </row>
    <row r="5647">
      <c r="A5647" s="3" t="s">
        <v>3690</v>
      </c>
      <c r="B5647" s="3" t="s">
        <v>5688</v>
      </c>
      <c r="C5647" s="3" t="s">
        <v>5689</v>
      </c>
      <c r="D5647" s="4" t="str">
        <f>HYPERLINK("https://12go.asia/en/travel/lokmanya-tilak-term/janghai-junction", "12Go Link")</f>
        <v>12Go Link</v>
      </c>
      <c r="E5647" s="3" t="s">
        <v>94</v>
      </c>
      <c r="K5647" s="5"/>
    </row>
    <row r="5648">
      <c r="A5648" s="3" t="s">
        <v>3690</v>
      </c>
      <c r="B5648" s="3" t="s">
        <v>5688</v>
      </c>
      <c r="C5648" s="3" t="s">
        <v>5690</v>
      </c>
      <c r="D5648" s="4" t="str">
        <f>HYPERLINK("https://12go.asia/en/travel/mumbai/janghai", "12Go Link")</f>
        <v>12Go Link</v>
      </c>
      <c r="E5648" s="3" t="s">
        <v>94</v>
      </c>
      <c r="K5648" s="5"/>
    </row>
    <row r="5649">
      <c r="A5649" s="3" t="s">
        <v>3690</v>
      </c>
      <c r="B5649" s="3" t="s">
        <v>4961</v>
      </c>
      <c r="C5649" s="3" t="s">
        <v>5691</v>
      </c>
      <c r="D5649" s="4" t="str">
        <f>HYPERLINK("https://12go.asia/en/travel/mumbai-cst/kharagpur-junction", "12Go Link")</f>
        <v>12Go Link</v>
      </c>
      <c r="E5649" s="3" t="s">
        <v>94</v>
      </c>
      <c r="K5649" s="5"/>
    </row>
    <row r="5650">
      <c r="A5650" s="3" t="s">
        <v>3690</v>
      </c>
      <c r="B5650" s="3" t="s">
        <v>163</v>
      </c>
      <c r="C5650" s="3" t="s">
        <v>5692</v>
      </c>
      <c r="D5650" s="4" t="str">
        <f>HYPERLINK("https://12go.asia/en/travel/mumbai-dadar/miraj-junction", "12Go Link")</f>
        <v>12Go Link</v>
      </c>
      <c r="E5650" s="3" t="s">
        <v>94</v>
      </c>
      <c r="K5650" s="5"/>
    </row>
    <row r="5651">
      <c r="A5651" s="3" t="s">
        <v>3690</v>
      </c>
      <c r="B5651" s="3" t="s">
        <v>5016</v>
      </c>
      <c r="C5651" s="3" t="s">
        <v>5693</v>
      </c>
      <c r="D5651" s="4" t="str">
        <f>HYPERLINK("https://12go.asia/en/travel/mumbai-central/panvel", "12Go Link")</f>
        <v>12Go Link</v>
      </c>
      <c r="E5651" s="3" t="s">
        <v>94</v>
      </c>
      <c r="K5651" s="5"/>
    </row>
    <row r="5652">
      <c r="A5652" s="3" t="s">
        <v>3690</v>
      </c>
      <c r="B5652" s="3" t="s">
        <v>5540</v>
      </c>
      <c r="C5652" s="3" t="s">
        <v>5694</v>
      </c>
      <c r="D5652" s="4" t="str">
        <f>HYPERLINK("https://12go.asia/en/travel/mumbai-cst/parasnath", "12Go Link")</f>
        <v>12Go Link</v>
      </c>
      <c r="E5652" s="3" t="s">
        <v>94</v>
      </c>
      <c r="K5652" s="5"/>
    </row>
    <row r="5653">
      <c r="A5653" s="3" t="s">
        <v>3690</v>
      </c>
      <c r="B5653" s="3" t="s">
        <v>5540</v>
      </c>
      <c r="C5653" s="3" t="s">
        <v>5695</v>
      </c>
      <c r="D5653" s="4" t="str">
        <f>HYPERLINK("https://12go.asia/en/travel/mumbai/parasnath", "12Go Link")</f>
        <v>12Go Link</v>
      </c>
      <c r="E5653" s="3" t="s">
        <v>94</v>
      </c>
      <c r="K5653" s="5"/>
    </row>
    <row r="5654">
      <c r="A5654" s="3" t="s">
        <v>3690</v>
      </c>
      <c r="B5654" s="3" t="s">
        <v>4660</v>
      </c>
      <c r="C5654" s="3" t="s">
        <v>5696</v>
      </c>
      <c r="D5654" s="4" t="str">
        <f>HYPERLINK("https://12go.asia/en/travel/mumbai/pathankot", "12Go Link")</f>
        <v>12Go Link</v>
      </c>
      <c r="E5654" s="3" t="s">
        <v>94</v>
      </c>
      <c r="K5654" s="5"/>
    </row>
    <row r="5655">
      <c r="A5655" s="3" t="s">
        <v>3690</v>
      </c>
      <c r="B5655" s="3" t="s">
        <v>4229</v>
      </c>
      <c r="C5655" s="3" t="s">
        <v>5697</v>
      </c>
      <c r="D5655" s="4" t="str">
        <f>HYPERLINK("https://12go.asia/en/travel/lokmanya-tilak-term/raigarh", "12Go Link")</f>
        <v>12Go Link</v>
      </c>
      <c r="E5655" s="3" t="s">
        <v>94</v>
      </c>
      <c r="K5655" s="5"/>
    </row>
    <row r="5656">
      <c r="A5656" s="3" t="s">
        <v>3690</v>
      </c>
      <c r="B5656" s="3" t="s">
        <v>4229</v>
      </c>
      <c r="C5656" s="3" t="s">
        <v>5698</v>
      </c>
      <c r="D5656" s="4" t="str">
        <f>HYPERLINK("https://12go.asia/en/travel/mumbai/raigarh", "12Go Link")</f>
        <v>12Go Link</v>
      </c>
      <c r="E5656" s="3" t="s">
        <v>94</v>
      </c>
      <c r="K5656" s="5"/>
    </row>
    <row r="5657">
      <c r="A5657" s="3" t="s">
        <v>3690</v>
      </c>
      <c r="B5657" s="3" t="s">
        <v>4196</v>
      </c>
      <c r="C5657" s="3" t="s">
        <v>5699</v>
      </c>
      <c r="D5657" s="4" t="str">
        <f>HYPERLINK("https://12go.asia/en/travel/mumbai/samastipur", "12Go Link")</f>
        <v>12Go Link</v>
      </c>
      <c r="E5657" s="3" t="s">
        <v>94</v>
      </c>
      <c r="K5657" s="5"/>
    </row>
    <row r="5658">
      <c r="A5658" s="3" t="s">
        <v>3690</v>
      </c>
      <c r="B5658" s="3" t="s">
        <v>4270</v>
      </c>
      <c r="C5658" s="3" t="s">
        <v>5700</v>
      </c>
      <c r="D5658" s="4" t="str">
        <f>HYPERLINK("https://12go.asia/en/travel/mumbai/velankanni", "12Go Link")</f>
        <v>12Go Link</v>
      </c>
      <c r="E5658" s="3" t="s">
        <v>94</v>
      </c>
      <c r="K5658" s="5"/>
    </row>
    <row r="5659">
      <c r="A5659" s="3" t="s">
        <v>5701</v>
      </c>
      <c r="B5659" s="3" t="s">
        <v>3593</v>
      </c>
      <c r="C5659" s="3" t="s">
        <v>5702</v>
      </c>
      <c r="D5659" s="4" t="str">
        <f>HYPERLINK("https://12go.asia/en/travel/murarai/rampur-hat", "12Go Link")</f>
        <v>12Go Link</v>
      </c>
      <c r="E5659" s="3" t="s">
        <v>94</v>
      </c>
      <c r="K5659" s="5"/>
    </row>
    <row r="5660">
      <c r="A5660" s="3" t="s">
        <v>5703</v>
      </c>
      <c r="B5660" s="3" t="s">
        <v>3647</v>
      </c>
      <c r="C5660" s="3" t="s">
        <v>5704</v>
      </c>
      <c r="D5660" s="4" t="str">
        <f>HYPERLINK("https://12go.asia/en/travel/muzaffarnagar/anand-vihar-trm", "12Go Link")</f>
        <v>12Go Link</v>
      </c>
      <c r="E5660" s="3" t="s">
        <v>94</v>
      </c>
      <c r="K5660" s="5"/>
    </row>
    <row r="5661">
      <c r="A5661" s="3" t="s">
        <v>5703</v>
      </c>
      <c r="B5661" s="3" t="s">
        <v>3647</v>
      </c>
      <c r="C5661" s="3" t="s">
        <v>5705</v>
      </c>
      <c r="D5661" s="4" t="str">
        <f>HYPERLINK("https://12go.asia/en/travel/muzaffarnagar/delhi-cantt", "12Go Link")</f>
        <v>12Go Link</v>
      </c>
      <c r="E5661" s="3" t="s">
        <v>94</v>
      </c>
      <c r="K5661" s="5"/>
    </row>
    <row r="5662">
      <c r="A5662" s="3" t="s">
        <v>5703</v>
      </c>
      <c r="B5662" s="3" t="s">
        <v>3647</v>
      </c>
      <c r="C5662" s="3" t="s">
        <v>5706</v>
      </c>
      <c r="D5662" s="4" t="str">
        <f>HYPERLINK("https://12go.asia/en/travel/muzaffarnagar/hazrat-nizamuddin", "12Go Link")</f>
        <v>12Go Link</v>
      </c>
      <c r="E5662" s="3" t="s">
        <v>94</v>
      </c>
      <c r="K5662" s="5"/>
    </row>
    <row r="5663">
      <c r="A5663" s="3" t="s">
        <v>4530</v>
      </c>
      <c r="B5663" s="3" t="s">
        <v>3647</v>
      </c>
      <c r="C5663" s="3" t="s">
        <v>5707</v>
      </c>
      <c r="D5663" s="4" t="str">
        <f>HYPERLINK("https://12go.asia/en/travel/muzaffarpur-junction/delhi", "12Go Link")</f>
        <v>12Go Link</v>
      </c>
      <c r="E5663" s="3" t="s">
        <v>94</v>
      </c>
      <c r="K5663" s="5"/>
    </row>
    <row r="5664">
      <c r="A5664" s="3" t="s">
        <v>4530</v>
      </c>
      <c r="B5664" s="3" t="s">
        <v>3801</v>
      </c>
      <c r="C5664" s="3" t="s">
        <v>5708</v>
      </c>
      <c r="D5664" s="4" t="str">
        <f>HYPERLINK("https://12go.asia/en/travel/muzaffarpur-junction/guwahati", "12Go Link")</f>
        <v>12Go Link</v>
      </c>
      <c r="E5664" s="3" t="s">
        <v>94</v>
      </c>
      <c r="K5664" s="5"/>
    </row>
    <row r="5665">
      <c r="A5665" s="3" t="s">
        <v>4530</v>
      </c>
      <c r="B5665" s="3" t="s">
        <v>3945</v>
      </c>
      <c r="C5665" s="3" t="s">
        <v>5709</v>
      </c>
      <c r="D5665" s="4" t="str">
        <f>HYPERLINK("https://12go.asia/en/travel/muzaffarpur-junction/jasidih-junction", "12Go Link")</f>
        <v>12Go Link</v>
      </c>
      <c r="E5665" s="3" t="s">
        <v>94</v>
      </c>
      <c r="K5665" s="5"/>
    </row>
    <row r="5666">
      <c r="A5666" s="3" t="s">
        <v>4530</v>
      </c>
      <c r="B5666" s="3" t="s">
        <v>3945</v>
      </c>
      <c r="C5666" s="3" t="s">
        <v>5710</v>
      </c>
      <c r="D5666" s="4" t="str">
        <f>HYPERLINK("https://12go.asia/en/travel/muzaffarpur/jasidih-deoghar", "12Go Link")</f>
        <v>12Go Link</v>
      </c>
      <c r="E5666" s="3" t="s">
        <v>94</v>
      </c>
      <c r="K5666" s="5"/>
    </row>
    <row r="5667">
      <c r="A5667" s="3" t="s">
        <v>172</v>
      </c>
      <c r="B5667" s="3" t="s">
        <v>4099</v>
      </c>
      <c r="C5667" s="3" t="s">
        <v>5711</v>
      </c>
      <c r="D5667" s="4" t="str">
        <f>HYPERLINK("https://12go.asia/en/travel/mysore/shirdi", "12Go Link")</f>
        <v>12Go Link</v>
      </c>
      <c r="E5667" s="3" t="s">
        <v>94</v>
      </c>
      <c r="K5667" s="5"/>
    </row>
    <row r="5668">
      <c r="A5668" s="3" t="s">
        <v>172</v>
      </c>
      <c r="B5668" s="3" t="s">
        <v>5250</v>
      </c>
      <c r="C5668" s="3" t="s">
        <v>5712</v>
      </c>
      <c r="D5668" s="4" t="str">
        <f>HYPERLINK("https://12go.asia/en/travel/mysore-jn/thanjavur", "12Go Link")</f>
        <v>12Go Link</v>
      </c>
      <c r="E5668" s="3" t="s">
        <v>94</v>
      </c>
      <c r="K5668" s="5"/>
    </row>
    <row r="5669">
      <c r="A5669" s="3" t="s">
        <v>172</v>
      </c>
      <c r="B5669" s="3" t="s">
        <v>5250</v>
      </c>
      <c r="C5669" s="3" t="s">
        <v>5713</v>
      </c>
      <c r="D5669" s="4" t="str">
        <f>HYPERLINK("https://12go.asia/en/travel/mysore/thanjavur", "12Go Link")</f>
        <v>12Go Link</v>
      </c>
      <c r="E5669" s="3" t="s">
        <v>94</v>
      </c>
      <c r="K5669" s="5"/>
    </row>
    <row r="5670">
      <c r="A5670" s="3" t="s">
        <v>5714</v>
      </c>
      <c r="B5670" s="3" t="s">
        <v>3638</v>
      </c>
      <c r="C5670" s="3" t="s">
        <v>5715</v>
      </c>
      <c r="D5670" s="4" t="str">
        <f>HYPERLINK("https://12go.asia/en/travel/nagaur/hyderabad", "12Go Link")</f>
        <v>12Go Link</v>
      </c>
      <c r="E5670" s="3" t="s">
        <v>94</v>
      </c>
      <c r="K5670" s="5"/>
    </row>
    <row r="5671">
      <c r="A5671" s="3" t="s">
        <v>5714</v>
      </c>
      <c r="B5671" s="3" t="s">
        <v>3638</v>
      </c>
      <c r="C5671" s="3" t="s">
        <v>5716</v>
      </c>
      <c r="D5671" s="4" t="str">
        <f>HYPERLINK("https://12go.asia/en/travel/nagaur/kacheguda", "12Go Link")</f>
        <v>12Go Link</v>
      </c>
      <c r="E5671" s="3" t="s">
        <v>94</v>
      </c>
      <c r="K5671" s="5"/>
    </row>
    <row r="5672">
      <c r="A5672" s="3" t="s">
        <v>3627</v>
      </c>
      <c r="B5672" s="3" t="s">
        <v>149</v>
      </c>
      <c r="C5672" s="3" t="s">
        <v>5717</v>
      </c>
      <c r="D5672" s="4" t="str">
        <f>HYPERLINK("https://12go.asia/en/travel/nagda-junction/asarva", "12Go Link")</f>
        <v>12Go Link</v>
      </c>
      <c r="E5672" s="3" t="s">
        <v>94</v>
      </c>
      <c r="K5672" s="5"/>
    </row>
    <row r="5673">
      <c r="A5673" s="3" t="s">
        <v>3627</v>
      </c>
      <c r="B5673" s="3" t="s">
        <v>149</v>
      </c>
      <c r="C5673" s="3" t="s">
        <v>5718</v>
      </c>
      <c r="D5673" s="4" t="str">
        <f>HYPERLINK("https://12go.asia/en/travel/nagda/ahmedabad", "12Go Link")</f>
        <v>12Go Link</v>
      </c>
      <c r="E5673" s="3" t="s">
        <v>94</v>
      </c>
      <c r="K5673" s="5"/>
    </row>
    <row r="5674">
      <c r="A5674" s="3" t="s">
        <v>3627</v>
      </c>
      <c r="B5674" s="3" t="s">
        <v>3647</v>
      </c>
      <c r="C5674" s="3" t="s">
        <v>5719</v>
      </c>
      <c r="D5674" s="4" t="str">
        <f>HYPERLINK("https://12go.asia/en/travel/nagda-junction/hazrat-nizamuddin", "12Go Link")</f>
        <v>12Go Link</v>
      </c>
      <c r="E5674" s="3" t="s">
        <v>94</v>
      </c>
      <c r="K5674" s="5"/>
    </row>
    <row r="5675">
      <c r="A5675" s="3" t="s">
        <v>3627</v>
      </c>
      <c r="B5675" s="3" t="s">
        <v>3647</v>
      </c>
      <c r="C5675" s="3" t="s">
        <v>5720</v>
      </c>
      <c r="D5675" s="4" t="str">
        <f>HYPERLINK("https://12go.asia/en/travel/nagda/delhi", "12Go Link")</f>
        <v>12Go Link</v>
      </c>
      <c r="E5675" s="3" t="s">
        <v>94</v>
      </c>
      <c r="K5675" s="5"/>
    </row>
    <row r="5676">
      <c r="A5676" s="3" t="s">
        <v>3658</v>
      </c>
      <c r="B5676" s="3" t="s">
        <v>3773</v>
      </c>
      <c r="C5676" s="3" t="s">
        <v>5721</v>
      </c>
      <c r="D5676" s="4" t="str">
        <f>HYPERLINK("https://12go.asia/en/travel/nagercoil-jn/tambaram", "12Go Link")</f>
        <v>12Go Link</v>
      </c>
      <c r="E5676" s="3" t="s">
        <v>94</v>
      </c>
      <c r="K5676" s="5"/>
    </row>
    <row r="5677">
      <c r="A5677" s="3" t="s">
        <v>3658</v>
      </c>
      <c r="B5677" s="3" t="s">
        <v>3773</v>
      </c>
      <c r="C5677" s="3" t="s">
        <v>5722</v>
      </c>
      <c r="D5677" s="4" t="str">
        <f>HYPERLINK("https://12go.asia/en/travel/nagercoil-town/tambaram", "12Go Link")</f>
        <v>12Go Link</v>
      </c>
      <c r="E5677" s="3" t="s">
        <v>94</v>
      </c>
      <c r="K5677" s="5"/>
    </row>
    <row r="5678">
      <c r="A5678" s="3" t="s">
        <v>3658</v>
      </c>
      <c r="B5678" s="3" t="s">
        <v>3773</v>
      </c>
      <c r="C5678" s="3" t="s">
        <v>5723</v>
      </c>
      <c r="D5678" s="4" t="str">
        <f>HYPERLINK("https://12go.asia/en/travel/nagercoil/tambaram", "12Go Link")</f>
        <v>12Go Link</v>
      </c>
      <c r="E5678" s="3" t="s">
        <v>94</v>
      </c>
      <c r="K5678" s="5"/>
    </row>
    <row r="5679">
      <c r="A5679" s="3" t="s">
        <v>4187</v>
      </c>
      <c r="B5679" s="3" t="s">
        <v>189</v>
      </c>
      <c r="C5679" s="3" t="s">
        <v>5724</v>
      </c>
      <c r="D5679" s="4" t="str">
        <f>HYPERLINK("https://12go.asia/en/travel/nagpur/vrindavan", "12Go Link")</f>
        <v>12Go Link</v>
      </c>
      <c r="E5679" s="3" t="s">
        <v>94</v>
      </c>
      <c r="K5679" s="5"/>
    </row>
    <row r="5680">
      <c r="A5680" s="3" t="s">
        <v>5725</v>
      </c>
      <c r="B5680" s="3" t="s">
        <v>5726</v>
      </c>
      <c r="C5680" s="3" t="s">
        <v>5727</v>
      </c>
      <c r="D5680" s="4" t="str">
        <f>HYPERLINK("https://12go.asia/en/travel/najibabad-junction/yamunanagar-jagadhri", "12Go Link")</f>
        <v>12Go Link</v>
      </c>
      <c r="E5680" s="3" t="s">
        <v>94</v>
      </c>
      <c r="K5680" s="5"/>
    </row>
    <row r="5681">
      <c r="A5681" s="3" t="s">
        <v>5725</v>
      </c>
      <c r="B5681" s="3" t="s">
        <v>5726</v>
      </c>
      <c r="C5681" s="3" t="s">
        <v>5728</v>
      </c>
      <c r="D5681" s="4" t="str">
        <f>HYPERLINK("https://12go.asia/en/travel/najibabad/yamunanagar-jagadhri", "12Go Link")</f>
        <v>12Go Link</v>
      </c>
      <c r="E5681" s="3" t="s">
        <v>94</v>
      </c>
      <c r="K5681" s="5"/>
    </row>
    <row r="5682">
      <c r="A5682" s="3" t="s">
        <v>5729</v>
      </c>
      <c r="B5682" s="3" t="s">
        <v>3638</v>
      </c>
      <c r="C5682" s="3" t="s">
        <v>5730</v>
      </c>
      <c r="D5682" s="4" t="str">
        <f>HYPERLINK("https://12go.asia/en/travel/nalgonda/hyderabad", "12Go Link")</f>
        <v>12Go Link</v>
      </c>
      <c r="E5682" s="3" t="s">
        <v>94</v>
      </c>
      <c r="K5682" s="5"/>
    </row>
    <row r="5683">
      <c r="A5683" s="3" t="s">
        <v>5729</v>
      </c>
      <c r="B5683" s="3" t="s">
        <v>3638</v>
      </c>
      <c r="C5683" s="3" t="s">
        <v>5731</v>
      </c>
      <c r="D5683" s="4" t="str">
        <f>HYPERLINK("https://12go.asia/en/travel/nalgonda/secunderabad", "12Go Link")</f>
        <v>12Go Link</v>
      </c>
      <c r="E5683" s="3" t="s">
        <v>94</v>
      </c>
      <c r="K5683" s="5"/>
    </row>
    <row r="5684">
      <c r="A5684" s="3" t="s">
        <v>5729</v>
      </c>
      <c r="B5684" s="3" t="s">
        <v>3678</v>
      </c>
      <c r="C5684" s="3" t="s">
        <v>5732</v>
      </c>
      <c r="D5684" s="4" t="str">
        <f>HYPERLINK("https://12go.asia/en/travel/nalgonda/lingampalli", "12Go Link")</f>
        <v>12Go Link</v>
      </c>
      <c r="E5684" s="3" t="s">
        <v>94</v>
      </c>
      <c r="K5684" s="5"/>
    </row>
    <row r="5685">
      <c r="A5685" s="3" t="s">
        <v>5729</v>
      </c>
      <c r="B5685" s="3" t="s">
        <v>4143</v>
      </c>
      <c r="C5685" s="3" t="s">
        <v>5733</v>
      </c>
      <c r="D5685" s="4" t="str">
        <f>HYPERLINK("https://12go.asia/en/travel/nalgonda/telangana", "12Go Link")</f>
        <v>12Go Link</v>
      </c>
      <c r="E5685" s="3" t="s">
        <v>94</v>
      </c>
      <c r="K5685" s="5"/>
    </row>
    <row r="5686">
      <c r="A5686" s="3" t="s">
        <v>3914</v>
      </c>
      <c r="B5686" s="3" t="s">
        <v>3805</v>
      </c>
      <c r="C5686" s="3" t="s">
        <v>5734</v>
      </c>
      <c r="D5686" s="4" t="str">
        <f>HYPERLINK("https://12go.asia/en/travel/nanded/jhansi", "12Go Link")</f>
        <v>12Go Link</v>
      </c>
      <c r="E5686" s="3" t="s">
        <v>94</v>
      </c>
      <c r="K5686" s="5"/>
    </row>
    <row r="5687">
      <c r="A5687" s="3" t="s">
        <v>3914</v>
      </c>
      <c r="B5687" s="3" t="s">
        <v>3805</v>
      </c>
      <c r="C5687" s="3" t="s">
        <v>5735</v>
      </c>
      <c r="D5687" s="4" t="str">
        <f>HYPERLINK("https://12go.asia/en/travel/nanded/virangana-lakshmibai", "12Go Link")</f>
        <v>12Go Link</v>
      </c>
      <c r="E5687" s="3" t="s">
        <v>94</v>
      </c>
      <c r="K5687" s="5"/>
    </row>
    <row r="5688">
      <c r="A5688" s="3" t="s">
        <v>3914</v>
      </c>
      <c r="B5688" s="3" t="s">
        <v>163</v>
      </c>
      <c r="C5688" s="3" t="s">
        <v>5736</v>
      </c>
      <c r="D5688" s="4" t="str">
        <f>HYPERLINK("https://12go.asia/en/travel/nanded/nagarsol", "12Go Link")</f>
        <v>12Go Link</v>
      </c>
      <c r="E5688" s="3" t="s">
        <v>94</v>
      </c>
      <c r="K5688" s="5"/>
    </row>
    <row r="5689">
      <c r="A5689" s="3" t="s">
        <v>5737</v>
      </c>
      <c r="B5689" s="3" t="s">
        <v>3919</v>
      </c>
      <c r="C5689" s="3" t="s">
        <v>5738</v>
      </c>
      <c r="D5689" s="4" t="str">
        <f>HYPERLINK("https://12go.asia/en/travel/nandura/pune", "12Go Link")</f>
        <v>12Go Link</v>
      </c>
      <c r="E5689" s="3" t="s">
        <v>94</v>
      </c>
      <c r="K5689" s="5"/>
    </row>
    <row r="5690">
      <c r="A5690" s="3" t="s">
        <v>5737</v>
      </c>
      <c r="B5690" s="3" t="s">
        <v>3919</v>
      </c>
      <c r="C5690" s="3" t="s">
        <v>5739</v>
      </c>
      <c r="D5690" s="4" t="str">
        <f>HYPERLINK("https://12go.asia/en/travel/nandura/pune-jn", "12Go Link")</f>
        <v>12Go Link</v>
      </c>
      <c r="E5690" s="3" t="s">
        <v>94</v>
      </c>
      <c r="K5690" s="5"/>
    </row>
    <row r="5691">
      <c r="A5691" s="3" t="s">
        <v>5477</v>
      </c>
      <c r="B5691" s="3" t="s">
        <v>3723</v>
      </c>
      <c r="C5691" s="3" t="s">
        <v>5740</v>
      </c>
      <c r="D5691" s="4" t="str">
        <f>HYPERLINK("https://12go.asia/en/travel/nandyal/guntur-junction", "12Go Link")</f>
        <v>12Go Link</v>
      </c>
      <c r="E5691" s="3" t="s">
        <v>94</v>
      </c>
      <c r="K5691" s="5"/>
    </row>
    <row r="5692">
      <c r="A5692" s="3" t="s">
        <v>4407</v>
      </c>
      <c r="B5692" s="3" t="s">
        <v>3670</v>
      </c>
      <c r="C5692" s="3" t="s">
        <v>5741</v>
      </c>
      <c r="D5692" s="4" t="str">
        <f>HYPERLINK("https://12go.asia/en/travel/nasik-road/amritsar-jn", "12Go Link")</f>
        <v>12Go Link</v>
      </c>
      <c r="E5692" s="3" t="s">
        <v>94</v>
      </c>
      <c r="K5692" s="5"/>
    </row>
    <row r="5693">
      <c r="A5693" s="3" t="s">
        <v>4407</v>
      </c>
      <c r="B5693" s="3" t="s">
        <v>3617</v>
      </c>
      <c r="C5693" s="3" t="s">
        <v>5742</v>
      </c>
      <c r="D5693" s="4" t="str">
        <f>HYPERLINK("https://12go.asia/en/travel/nashik/badnera", "12Go Link")</f>
        <v>12Go Link</v>
      </c>
      <c r="E5693" s="3" t="s">
        <v>94</v>
      </c>
      <c r="K5693" s="5"/>
    </row>
    <row r="5694">
      <c r="A5694" s="3" t="s">
        <v>4407</v>
      </c>
      <c r="B5694" s="3" t="s">
        <v>3617</v>
      </c>
      <c r="C5694" s="3" t="s">
        <v>5743</v>
      </c>
      <c r="D5694" s="4" t="str">
        <f>HYPERLINK("https://12go.asia/en/travel/nasik-road/badnera-junction", "12Go Link")</f>
        <v>12Go Link</v>
      </c>
      <c r="E5694" s="3" t="s">
        <v>94</v>
      </c>
      <c r="K5694" s="5"/>
    </row>
    <row r="5695">
      <c r="A5695" s="3" t="s">
        <v>4407</v>
      </c>
      <c r="B5695" s="3" t="s">
        <v>5744</v>
      </c>
      <c r="C5695" s="3" t="s">
        <v>5745</v>
      </c>
      <c r="D5695" s="4" t="str">
        <f>HYPERLINK("https://12go.asia/en/travel/nashik/burhanpur", "12Go Link")</f>
        <v>12Go Link</v>
      </c>
      <c r="E5695" s="3" t="s">
        <v>94</v>
      </c>
      <c r="K5695" s="5"/>
    </row>
    <row r="5696">
      <c r="A5696" s="3" t="s">
        <v>4407</v>
      </c>
      <c r="B5696" s="3" t="s">
        <v>5744</v>
      </c>
      <c r="C5696" s="3" t="s">
        <v>5746</v>
      </c>
      <c r="D5696" s="4" t="str">
        <f>HYPERLINK("https://12go.asia/en/travel/nasik-road/burhanpur", "12Go Link")</f>
        <v>12Go Link</v>
      </c>
      <c r="E5696" s="3" t="s">
        <v>94</v>
      </c>
      <c r="K5696" s="5"/>
    </row>
    <row r="5697">
      <c r="A5697" s="3" t="s">
        <v>4407</v>
      </c>
      <c r="B5697" s="3" t="s">
        <v>3898</v>
      </c>
      <c r="C5697" s="3" t="s">
        <v>5747</v>
      </c>
      <c r="D5697" s="4" t="str">
        <f>HYPERLINK("https://12go.asia/en/travel/nashik/jabalpur", "12Go Link")</f>
        <v>12Go Link</v>
      </c>
      <c r="E5697" s="3" t="s">
        <v>94</v>
      </c>
      <c r="K5697" s="5"/>
    </row>
    <row r="5698">
      <c r="A5698" s="3" t="s">
        <v>4407</v>
      </c>
      <c r="B5698" s="3" t="s">
        <v>3898</v>
      </c>
      <c r="C5698" s="3" t="s">
        <v>5748</v>
      </c>
      <c r="D5698" s="4" t="str">
        <f>HYPERLINK("https://12go.asia/en/travel/nasik-road/jabalpur", "12Go Link")</f>
        <v>12Go Link</v>
      </c>
      <c r="E5698" s="3" t="s">
        <v>94</v>
      </c>
      <c r="K5698" s="5"/>
    </row>
    <row r="5699">
      <c r="A5699" s="3" t="s">
        <v>4407</v>
      </c>
      <c r="B5699" s="3" t="s">
        <v>3704</v>
      </c>
      <c r="C5699" s="3" t="s">
        <v>5749</v>
      </c>
      <c r="D5699" s="4" t="str">
        <f>HYPERLINK("https://12go.asia/en/travel/nasik-road/shalimar", "12Go Link")</f>
        <v>12Go Link</v>
      </c>
      <c r="E5699" s="3" t="s">
        <v>94</v>
      </c>
      <c r="K5699" s="5"/>
    </row>
    <row r="5700">
      <c r="A5700" s="3" t="s">
        <v>4407</v>
      </c>
      <c r="B5700" s="3" t="s">
        <v>3678</v>
      </c>
      <c r="C5700" s="3" t="s">
        <v>5750</v>
      </c>
      <c r="D5700" s="4" t="str">
        <f>HYPERLINK("https://12go.asia/en/travel/nashik/lingampalli", "12Go Link")</f>
        <v>12Go Link</v>
      </c>
      <c r="E5700" s="3" t="s">
        <v>94</v>
      </c>
      <c r="K5700" s="5"/>
    </row>
    <row r="5701">
      <c r="A5701" s="3" t="s">
        <v>4407</v>
      </c>
      <c r="B5701" s="3" t="s">
        <v>3678</v>
      </c>
      <c r="C5701" s="3" t="s">
        <v>5751</v>
      </c>
      <c r="D5701" s="4" t="str">
        <f>HYPERLINK("https://12go.asia/en/travel/nasik-road/lingampalli", "12Go Link")</f>
        <v>12Go Link</v>
      </c>
      <c r="E5701" s="3" t="s">
        <v>94</v>
      </c>
      <c r="K5701" s="5"/>
    </row>
    <row r="5702">
      <c r="A5702" s="3" t="s">
        <v>4407</v>
      </c>
      <c r="B5702" s="3" t="s">
        <v>3739</v>
      </c>
      <c r="C5702" s="3" t="s">
        <v>5752</v>
      </c>
      <c r="D5702" s="4" t="str">
        <f>HYPERLINK("https://12go.asia/en/travel/nashik/mughalsarai", "12Go Link")</f>
        <v>12Go Link</v>
      </c>
      <c r="E5702" s="3" t="s">
        <v>94</v>
      </c>
      <c r="K5702" s="5"/>
    </row>
    <row r="5703">
      <c r="A5703" s="3" t="s">
        <v>4407</v>
      </c>
      <c r="B5703" s="3" t="s">
        <v>4075</v>
      </c>
      <c r="C5703" s="3" t="s">
        <v>5753</v>
      </c>
      <c r="D5703" s="4" t="str">
        <f>HYPERLINK("https://12go.asia/en/travel/nashik/punjab", "12Go Link")</f>
        <v>12Go Link</v>
      </c>
      <c r="E5703" s="3" t="s">
        <v>94</v>
      </c>
      <c r="K5703" s="5"/>
    </row>
    <row r="5704">
      <c r="A5704" s="3" t="s">
        <v>4407</v>
      </c>
      <c r="B5704" s="3" t="s">
        <v>4752</v>
      </c>
      <c r="C5704" s="3" t="s">
        <v>5754</v>
      </c>
      <c r="D5704" s="4" t="str">
        <f>HYPERLINK("https://12go.asia/en/travel/nashik/raipur", "12Go Link")</f>
        <v>12Go Link</v>
      </c>
      <c r="E5704" s="3" t="s">
        <v>94</v>
      </c>
      <c r="K5704" s="5"/>
    </row>
    <row r="5705">
      <c r="A5705" s="3" t="s">
        <v>4407</v>
      </c>
      <c r="B5705" s="3" t="s">
        <v>3666</v>
      </c>
      <c r="C5705" s="3" t="s">
        <v>5755</v>
      </c>
      <c r="D5705" s="4" t="str">
        <f>HYPERLINK("https://12go.asia/en/travel/nasik-road/mughal-sarai-junction", "12Go Link")</f>
        <v>12Go Link</v>
      </c>
      <c r="E5705" s="3" t="s">
        <v>94</v>
      </c>
      <c r="K5705" s="5"/>
    </row>
    <row r="5706">
      <c r="A5706" s="3" t="s">
        <v>4407</v>
      </c>
      <c r="B5706" s="3" t="s">
        <v>189</v>
      </c>
      <c r="C5706" s="3" t="s">
        <v>5756</v>
      </c>
      <c r="D5706" s="4" t="str">
        <f>HYPERLINK("https://12go.asia/en/travel/nashik/vrindavan", "12Go Link")</f>
        <v>12Go Link</v>
      </c>
      <c r="E5706" s="3" t="s">
        <v>94</v>
      </c>
      <c r="K5706" s="5"/>
    </row>
    <row r="5707">
      <c r="A5707" s="3" t="s">
        <v>4407</v>
      </c>
      <c r="B5707" s="3" t="s">
        <v>3708</v>
      </c>
      <c r="C5707" s="3" t="s">
        <v>5757</v>
      </c>
      <c r="D5707" s="4" t="str">
        <f>HYPERLINK("https://12go.asia/en/travel/nashik/west-bengal", "12Go Link")</f>
        <v>12Go Link</v>
      </c>
      <c r="E5707" s="3" t="s">
        <v>94</v>
      </c>
      <c r="K5707" s="5"/>
    </row>
    <row r="5708">
      <c r="A5708" s="3" t="s">
        <v>3970</v>
      </c>
      <c r="B5708" s="3" t="s">
        <v>3643</v>
      </c>
      <c r="C5708" s="3" t="s">
        <v>5758</v>
      </c>
      <c r="D5708" s="4" t="str">
        <f>HYPERLINK("https://12go.asia/en/travel/navi-mumbai/alappuzha", "12Go Link")</f>
        <v>12Go Link</v>
      </c>
      <c r="E5708" s="3" t="s">
        <v>94</v>
      </c>
      <c r="K5708" s="5"/>
    </row>
    <row r="5709">
      <c r="A5709" s="3" t="s">
        <v>3970</v>
      </c>
      <c r="B5709" s="3" t="s">
        <v>3668</v>
      </c>
      <c r="C5709" s="3" t="s">
        <v>5759</v>
      </c>
      <c r="D5709" s="4" t="str">
        <f>HYPERLINK("https://12go.asia/en/travel/navi-mumbai/amravati", "12Go Link")</f>
        <v>12Go Link</v>
      </c>
      <c r="E5709" s="3" t="s">
        <v>94</v>
      </c>
      <c r="K5709" s="5"/>
    </row>
    <row r="5710">
      <c r="A5710" s="3" t="s">
        <v>3970</v>
      </c>
      <c r="B5710" s="3" t="s">
        <v>3680</v>
      </c>
      <c r="C5710" s="3" t="s">
        <v>5760</v>
      </c>
      <c r="D5710" s="4" t="str">
        <f>HYPERLINK("https://12go.asia/en/travel/navi-mumbai/anand-gujarat", "12Go Link")</f>
        <v>12Go Link</v>
      </c>
      <c r="E5710" s="3" t="s">
        <v>94</v>
      </c>
      <c r="K5710" s="5"/>
    </row>
    <row r="5711">
      <c r="A5711" s="3" t="s">
        <v>3970</v>
      </c>
      <c r="B5711" s="3" t="s">
        <v>4033</v>
      </c>
      <c r="C5711" s="3" t="s">
        <v>5761</v>
      </c>
      <c r="D5711" s="4" t="str">
        <f>HYPERLINK("https://12go.asia/en/travel/navi-mumbai/anjuna", "12Go Link")</f>
        <v>12Go Link</v>
      </c>
      <c r="E5711" s="3" t="s">
        <v>94</v>
      </c>
      <c r="K5711" s="5"/>
    </row>
    <row r="5712">
      <c r="A5712" s="3" t="s">
        <v>3970</v>
      </c>
      <c r="B5712" s="3" t="s">
        <v>3617</v>
      </c>
      <c r="C5712" s="3" t="s">
        <v>5762</v>
      </c>
      <c r="D5712" s="4" t="str">
        <f>HYPERLINK("https://12go.asia/en/travel/navi-mumbai/badnera", "12Go Link")</f>
        <v>12Go Link</v>
      </c>
      <c r="E5712" s="3" t="s">
        <v>94</v>
      </c>
      <c r="K5712" s="5"/>
    </row>
    <row r="5713">
      <c r="A5713" s="3" t="s">
        <v>3970</v>
      </c>
      <c r="B5713" s="3" t="s">
        <v>3964</v>
      </c>
      <c r="C5713" s="3" t="s">
        <v>5763</v>
      </c>
      <c r="D5713" s="4" t="str">
        <f>HYPERLINK("https://12go.asia/en/travel/navi-mumbai/belagavi", "12Go Link")</f>
        <v>12Go Link</v>
      </c>
      <c r="E5713" s="3" t="s">
        <v>94</v>
      </c>
      <c r="K5713" s="5"/>
    </row>
    <row r="5714">
      <c r="A5714" s="3" t="s">
        <v>3970</v>
      </c>
      <c r="B5714" s="3" t="s">
        <v>4012</v>
      </c>
      <c r="C5714" s="3" t="s">
        <v>5764</v>
      </c>
      <c r="D5714" s="4" t="str">
        <f>HYPERLINK("https://12go.asia/en/travel/navi-mumbai/bharuch", "12Go Link")</f>
        <v>12Go Link</v>
      </c>
      <c r="E5714" s="3" t="s">
        <v>94</v>
      </c>
      <c r="K5714" s="5"/>
    </row>
    <row r="5715">
      <c r="A5715" s="3" t="s">
        <v>3970</v>
      </c>
      <c r="B5715" s="3" t="s">
        <v>4032</v>
      </c>
      <c r="C5715" s="3" t="s">
        <v>5765</v>
      </c>
      <c r="D5715" s="4" t="str">
        <f>HYPERLINK("https://12go.asia/en/travel/navi-mumbai/bhavnagar", "12Go Link")</f>
        <v>12Go Link</v>
      </c>
      <c r="E5715" s="3" t="s">
        <v>94</v>
      </c>
      <c r="K5715" s="5"/>
    </row>
    <row r="5716">
      <c r="A5716" s="3" t="s">
        <v>3970</v>
      </c>
      <c r="B5716" s="3" t="s">
        <v>4245</v>
      </c>
      <c r="C5716" s="3" t="s">
        <v>5766</v>
      </c>
      <c r="D5716" s="4" t="str">
        <f>HYPERLINK("https://12go.asia/en/travel/navi-mumbai/boisar", "12Go Link")</f>
        <v>12Go Link</v>
      </c>
      <c r="E5716" s="3" t="s">
        <v>94</v>
      </c>
      <c r="K5716" s="5"/>
    </row>
    <row r="5717">
      <c r="A5717" s="3" t="s">
        <v>3970</v>
      </c>
      <c r="B5717" s="3" t="s">
        <v>5744</v>
      </c>
      <c r="C5717" s="3" t="s">
        <v>5767</v>
      </c>
      <c r="D5717" s="4" t="str">
        <f>HYPERLINK("https://12go.asia/en/travel/navi-mumbai/burhanpur", "12Go Link")</f>
        <v>12Go Link</v>
      </c>
      <c r="E5717" s="3" t="s">
        <v>94</v>
      </c>
      <c r="K5717" s="5"/>
    </row>
    <row r="5718">
      <c r="A5718" s="3" t="s">
        <v>3970</v>
      </c>
      <c r="B5718" s="3" t="s">
        <v>5768</v>
      </c>
      <c r="C5718" s="3" t="s">
        <v>5769</v>
      </c>
      <c r="D5718" s="4" t="str">
        <f>HYPERLINK("https://12go.asia/en/travel/navi-mumbai/canacona-goa", "12Go Link")</f>
        <v>12Go Link</v>
      </c>
      <c r="E5718" s="3" t="s">
        <v>94</v>
      </c>
      <c r="K5718" s="5"/>
    </row>
    <row r="5719">
      <c r="A5719" s="3" t="s">
        <v>3970</v>
      </c>
      <c r="B5719" s="3" t="s">
        <v>4420</v>
      </c>
      <c r="C5719" s="3" t="s">
        <v>5770</v>
      </c>
      <c r="D5719" s="4" t="str">
        <f>HYPERLINK("https://12go.asia/en/travel/navi-mumbai/chiplun", "12Go Link")</f>
        <v>12Go Link</v>
      </c>
      <c r="E5719" s="3" t="s">
        <v>94</v>
      </c>
      <c r="K5719" s="5"/>
    </row>
    <row r="5720">
      <c r="A5720" s="3" t="s">
        <v>3970</v>
      </c>
      <c r="B5720" s="3" t="s">
        <v>4013</v>
      </c>
      <c r="C5720" s="3" t="s">
        <v>5771</v>
      </c>
      <c r="D5720" s="4" t="str">
        <f>HYPERLINK("https://12go.asia/en/travel/navi-mumbai/daman", "12Go Link")</f>
        <v>12Go Link</v>
      </c>
      <c r="E5720" s="3" t="s">
        <v>94</v>
      </c>
      <c r="K5720" s="5"/>
    </row>
    <row r="5721">
      <c r="A5721" s="3" t="s">
        <v>3970</v>
      </c>
      <c r="B5721" s="3" t="s">
        <v>3876</v>
      </c>
      <c r="C5721" s="3" t="s">
        <v>5772</v>
      </c>
      <c r="D5721" s="4" t="str">
        <f>HYPERLINK("https://12go.asia/en/travel/navi-mumbai/dharwad", "12Go Link")</f>
        <v>12Go Link</v>
      </c>
      <c r="E5721" s="3" t="s">
        <v>94</v>
      </c>
      <c r="K5721" s="5"/>
    </row>
    <row r="5722">
      <c r="A5722" s="3" t="s">
        <v>3970</v>
      </c>
      <c r="B5722" s="3" t="s">
        <v>5062</v>
      </c>
      <c r="C5722" s="3" t="s">
        <v>5773</v>
      </c>
      <c r="D5722" s="4" t="str">
        <f>HYPERLINK("https://12go.asia/en/travel/navi-mumbai/falna", "12Go Link")</f>
        <v>12Go Link</v>
      </c>
      <c r="E5722" s="3" t="s">
        <v>94</v>
      </c>
      <c r="K5722" s="5"/>
    </row>
    <row r="5723">
      <c r="A5723" s="3" t="s">
        <v>3970</v>
      </c>
      <c r="B5723" s="3" t="s">
        <v>4015</v>
      </c>
      <c r="C5723" s="3" t="s">
        <v>5774</v>
      </c>
      <c r="D5723" s="4" t="str">
        <f>HYPERLINK("https://12go.asia/en/travel/navi-mumbai/gandhidham", "12Go Link")</f>
        <v>12Go Link</v>
      </c>
      <c r="E5723" s="3" t="s">
        <v>94</v>
      </c>
      <c r="K5723" s="5"/>
    </row>
    <row r="5724">
      <c r="A5724" s="3" t="s">
        <v>3970</v>
      </c>
      <c r="B5724" s="3" t="s">
        <v>3890</v>
      </c>
      <c r="C5724" s="3" t="s">
        <v>5775</v>
      </c>
      <c r="D5724" s="4" t="str">
        <f>HYPERLINK("https://12go.asia/en/travel/navi-mumbai/goa", "12Go Link")</f>
        <v>12Go Link</v>
      </c>
      <c r="E5724" s="3" t="s">
        <v>94</v>
      </c>
      <c r="K5724" s="5"/>
    </row>
    <row r="5725">
      <c r="A5725" s="3" t="s">
        <v>3970</v>
      </c>
      <c r="B5725" s="3" t="s">
        <v>4384</v>
      </c>
      <c r="C5725" s="3" t="s">
        <v>5776</v>
      </c>
      <c r="D5725" s="4" t="str">
        <f>HYPERLINK("https://12go.asia/en/travel/navi-mumbai/gorakhpur", "12Go Link")</f>
        <v>12Go Link</v>
      </c>
      <c r="E5725" s="3" t="s">
        <v>94</v>
      </c>
      <c r="K5725" s="5"/>
    </row>
    <row r="5726">
      <c r="A5726" s="3" t="s">
        <v>3970</v>
      </c>
      <c r="B5726" s="3" t="s">
        <v>4396</v>
      </c>
      <c r="C5726" s="3" t="s">
        <v>5777</v>
      </c>
      <c r="D5726" s="4" t="str">
        <f>HYPERLINK("https://12go.asia/en/travel/navi-mumbai/gwalior", "12Go Link")</f>
        <v>12Go Link</v>
      </c>
      <c r="E5726" s="3" t="s">
        <v>94</v>
      </c>
      <c r="K5726" s="5"/>
    </row>
    <row r="5727">
      <c r="A5727" s="3" t="s">
        <v>3970</v>
      </c>
      <c r="B5727" s="3" t="s">
        <v>4466</v>
      </c>
      <c r="C5727" s="3" t="s">
        <v>5778</v>
      </c>
      <c r="D5727" s="4" t="str">
        <f>HYPERLINK("https://12go.asia/en/travel/navi-mumbai/hubballi-dharwad", "12Go Link")</f>
        <v>12Go Link</v>
      </c>
      <c r="E5727" s="3" t="s">
        <v>94</v>
      </c>
      <c r="K5727" s="5"/>
    </row>
    <row r="5728">
      <c r="A5728" s="3" t="s">
        <v>3970</v>
      </c>
      <c r="B5728" s="3" t="s">
        <v>4468</v>
      </c>
      <c r="C5728" s="3" t="s">
        <v>5779</v>
      </c>
      <c r="D5728" s="4" t="str">
        <f>HYPERLINK("https://12go.asia/en/travel/navi-mumbai/hubli", "12Go Link")</f>
        <v>12Go Link</v>
      </c>
      <c r="E5728" s="3" t="s">
        <v>94</v>
      </c>
      <c r="K5728" s="5"/>
    </row>
    <row r="5729">
      <c r="A5729" s="3" t="s">
        <v>3970</v>
      </c>
      <c r="B5729" s="3" t="s">
        <v>5083</v>
      </c>
      <c r="C5729" s="3" t="s">
        <v>5780</v>
      </c>
      <c r="D5729" s="4" t="str">
        <f>HYPERLINK("https://12go.asia/en/travel/navi-mumbai/jamnagar", "12Go Link")</f>
        <v>12Go Link</v>
      </c>
      <c r="E5729" s="3" t="s">
        <v>94</v>
      </c>
      <c r="K5729" s="5"/>
    </row>
    <row r="5730">
      <c r="A5730" s="3" t="s">
        <v>3970</v>
      </c>
      <c r="B5730" s="3" t="s">
        <v>3682</v>
      </c>
      <c r="C5730" s="3" t="s">
        <v>5781</v>
      </c>
      <c r="D5730" s="4" t="str">
        <f>HYPERLINK("https://12go.asia/en/travel/navi-mumbai/kalyan", "12Go Link")</f>
        <v>12Go Link</v>
      </c>
      <c r="E5730" s="3" t="s">
        <v>94</v>
      </c>
      <c r="K5730" s="5"/>
    </row>
    <row r="5731">
      <c r="A5731" s="3" t="s">
        <v>3970</v>
      </c>
      <c r="B5731" s="3" t="s">
        <v>5575</v>
      </c>
      <c r="C5731" s="3" t="s">
        <v>5782</v>
      </c>
      <c r="D5731" s="4" t="str">
        <f>HYPERLINK("https://12go.asia/en/travel/navi-mumbai/kankanadi", "12Go Link")</f>
        <v>12Go Link</v>
      </c>
      <c r="E5731" s="3" t="s">
        <v>94</v>
      </c>
      <c r="K5731" s="5"/>
    </row>
    <row r="5732">
      <c r="A5732" s="3" t="s">
        <v>3970</v>
      </c>
      <c r="B5732" s="3" t="s">
        <v>5783</v>
      </c>
      <c r="C5732" s="3" t="s">
        <v>5784</v>
      </c>
      <c r="D5732" s="4" t="str">
        <f>HYPERLINK("https://12go.asia/en/travel/navi-mumbai/kannur", "12Go Link")</f>
        <v>12Go Link</v>
      </c>
      <c r="E5732" s="3" t="s">
        <v>94</v>
      </c>
      <c r="K5732" s="5"/>
    </row>
    <row r="5733">
      <c r="A5733" s="3" t="s">
        <v>3970</v>
      </c>
      <c r="B5733" s="3" t="s">
        <v>3955</v>
      </c>
      <c r="C5733" s="3" t="s">
        <v>5785</v>
      </c>
      <c r="D5733" s="4" t="str">
        <f>HYPERLINK("https://12go.asia/en/travel/navi-mumbai/kanpur", "12Go Link")</f>
        <v>12Go Link</v>
      </c>
      <c r="E5733" s="3" t="s">
        <v>94</v>
      </c>
      <c r="K5733" s="5"/>
    </row>
    <row r="5734">
      <c r="A5734" s="3" t="s">
        <v>3970</v>
      </c>
      <c r="B5734" s="3" t="s">
        <v>5160</v>
      </c>
      <c r="C5734" s="3" t="s">
        <v>5786</v>
      </c>
      <c r="D5734" s="4" t="str">
        <f>HYPERLINK("https://12go.asia/en/travel/navi-mumbai/karjat", "12Go Link")</f>
        <v>12Go Link</v>
      </c>
      <c r="E5734" s="3" t="s">
        <v>94</v>
      </c>
      <c r="K5734" s="5"/>
    </row>
    <row r="5735">
      <c r="A5735" s="3" t="s">
        <v>3970</v>
      </c>
      <c r="B5735" s="3" t="s">
        <v>3622</v>
      </c>
      <c r="C5735" s="3" t="s">
        <v>5787</v>
      </c>
      <c r="D5735" s="4" t="str">
        <f>HYPERLINK("https://12go.asia/en/travel/navi-mumbai/karwar", "12Go Link")</f>
        <v>12Go Link</v>
      </c>
      <c r="E5735" s="3" t="s">
        <v>94</v>
      </c>
      <c r="K5735" s="5"/>
    </row>
    <row r="5736">
      <c r="A5736" s="3" t="s">
        <v>3970</v>
      </c>
      <c r="B5736" s="3" t="s">
        <v>4351</v>
      </c>
      <c r="C5736" s="3" t="s">
        <v>5788</v>
      </c>
      <c r="D5736" s="4" t="str">
        <f>HYPERLINK("https://12go.asia/en/travel/navi-mumbai/kasaragod", "12Go Link")</f>
        <v>12Go Link</v>
      </c>
      <c r="E5736" s="3" t="s">
        <v>94</v>
      </c>
      <c r="K5736" s="5"/>
    </row>
    <row r="5737">
      <c r="A5737" s="3" t="s">
        <v>3970</v>
      </c>
      <c r="B5737" s="3" t="s">
        <v>5194</v>
      </c>
      <c r="C5737" s="3" t="s">
        <v>5789</v>
      </c>
      <c r="D5737" s="4" t="str">
        <f>HYPERLINK("https://12go.asia/en/travel/navi-mumbai/kayamkulam", "12Go Link")</f>
        <v>12Go Link</v>
      </c>
      <c r="E5737" s="3" t="s">
        <v>94</v>
      </c>
      <c r="K5737" s="5"/>
    </row>
    <row r="5738">
      <c r="A5738" s="3" t="s">
        <v>3970</v>
      </c>
      <c r="B5738" s="3" t="s">
        <v>3730</v>
      </c>
      <c r="C5738" s="3" t="s">
        <v>5790</v>
      </c>
      <c r="D5738" s="4" t="str">
        <f>HYPERLINK("https://12go.asia/en/travel/navi-mumbai/kerala", "12Go Link")</f>
        <v>12Go Link</v>
      </c>
      <c r="E5738" s="3" t="s">
        <v>94</v>
      </c>
      <c r="K5738" s="5"/>
    </row>
    <row r="5739">
      <c r="A5739" s="3" t="s">
        <v>3970</v>
      </c>
      <c r="B5739" s="3" t="s">
        <v>4257</v>
      </c>
      <c r="C5739" s="3" t="s">
        <v>5791</v>
      </c>
      <c r="D5739" s="4" t="str">
        <f>HYPERLINK("https://12go.asia/en/travel/navi-mumbai/khaira", "12Go Link")</f>
        <v>12Go Link</v>
      </c>
      <c r="E5739" s="3" t="s">
        <v>94</v>
      </c>
      <c r="K5739" s="5"/>
    </row>
    <row r="5740">
      <c r="A5740" s="3" t="s">
        <v>3970</v>
      </c>
      <c r="B5740" s="3" t="s">
        <v>4567</v>
      </c>
      <c r="C5740" s="3" t="s">
        <v>5792</v>
      </c>
      <c r="D5740" s="4" t="str">
        <f>HYPERLINK("https://12go.asia/en/travel/navi-mumbai/kota", "12Go Link")</f>
        <v>12Go Link</v>
      </c>
      <c r="E5740" s="3" t="s">
        <v>94</v>
      </c>
      <c r="K5740" s="5"/>
    </row>
    <row r="5741">
      <c r="A5741" s="3" t="s">
        <v>3970</v>
      </c>
      <c r="B5741" s="3" t="s">
        <v>5793</v>
      </c>
      <c r="C5741" s="3" t="s">
        <v>5794</v>
      </c>
      <c r="D5741" s="4" t="str">
        <f>HYPERLINK("https://12go.asia/en/travel/navi-mumbai/koyilandy", "12Go Link")</f>
        <v>12Go Link</v>
      </c>
      <c r="E5741" s="3" t="s">
        <v>94</v>
      </c>
      <c r="K5741" s="5"/>
    </row>
    <row r="5742">
      <c r="A5742" s="3" t="s">
        <v>3970</v>
      </c>
      <c r="B5742" s="3" t="s">
        <v>5133</v>
      </c>
      <c r="C5742" s="3" t="s">
        <v>5795</v>
      </c>
      <c r="D5742" s="4" t="str">
        <f>HYPERLINK("https://12go.asia/en/travel/navi-mumbai/kudal", "12Go Link")</f>
        <v>12Go Link</v>
      </c>
      <c r="E5742" s="3" t="s">
        <v>94</v>
      </c>
      <c r="K5742" s="5"/>
    </row>
    <row r="5743">
      <c r="A5743" s="3" t="s">
        <v>3970</v>
      </c>
      <c r="B5743" s="3" t="s">
        <v>5796</v>
      </c>
      <c r="C5743" s="3" t="s">
        <v>5797</v>
      </c>
      <c r="D5743" s="4" t="str">
        <f>HYPERLINK("https://12go.asia/en/travel/navi-mumbai/latur", "12Go Link")</f>
        <v>12Go Link</v>
      </c>
      <c r="E5743" s="3" t="s">
        <v>94</v>
      </c>
      <c r="K5743" s="5"/>
    </row>
    <row r="5744">
      <c r="A5744" s="3" t="s">
        <v>3970</v>
      </c>
      <c r="B5744" s="3" t="s">
        <v>3734</v>
      </c>
      <c r="C5744" s="3" t="s">
        <v>5798</v>
      </c>
      <c r="D5744" s="4" t="str">
        <f>HYPERLINK("https://12go.asia/en/travel/navi-mumbai/lonavala", "12Go Link")</f>
        <v>12Go Link</v>
      </c>
      <c r="E5744" s="3" t="s">
        <v>94</v>
      </c>
      <c r="K5744" s="5"/>
    </row>
    <row r="5745">
      <c r="A5745" s="3" t="s">
        <v>3970</v>
      </c>
      <c r="B5745" s="3" t="s">
        <v>3994</v>
      </c>
      <c r="C5745" s="3" t="s">
        <v>5799</v>
      </c>
      <c r="D5745" s="4" t="str">
        <f>HYPERLINK("https://12go.asia/en/travel/navi-mumbai/lucknow", "12Go Link")</f>
        <v>12Go Link</v>
      </c>
      <c r="E5745" s="3" t="s">
        <v>94</v>
      </c>
      <c r="K5745" s="5"/>
    </row>
    <row r="5746">
      <c r="A5746" s="3" t="s">
        <v>3970</v>
      </c>
      <c r="B5746" s="3" t="s">
        <v>163</v>
      </c>
      <c r="C5746" s="3" t="s">
        <v>5800</v>
      </c>
      <c r="D5746" s="4" t="str">
        <f>HYPERLINK("https://12go.asia/en/travel/navi-mumbai/maharashtra", "12Go Link")</f>
        <v>12Go Link</v>
      </c>
      <c r="E5746" s="3" t="s">
        <v>94</v>
      </c>
      <c r="K5746" s="5"/>
    </row>
    <row r="5747">
      <c r="A5747" s="3" t="s">
        <v>3970</v>
      </c>
      <c r="B5747" s="3" t="s">
        <v>3644</v>
      </c>
      <c r="C5747" s="3" t="s">
        <v>5801</v>
      </c>
      <c r="D5747" s="4" t="str">
        <f>HYPERLINK("https://12go.asia/en/travel/navi-mumbai/mangalore", "12Go Link")</f>
        <v>12Go Link</v>
      </c>
      <c r="E5747" s="3" t="s">
        <v>94</v>
      </c>
      <c r="K5747" s="5"/>
    </row>
    <row r="5748">
      <c r="A5748" s="3" t="s">
        <v>3970</v>
      </c>
      <c r="B5748" s="3" t="s">
        <v>3625</v>
      </c>
      <c r="C5748" s="3" t="s">
        <v>5802</v>
      </c>
      <c r="D5748" s="4" t="str">
        <f>HYPERLINK("https://12go.asia/en/travel/navi-mumbai/manipal", "12Go Link")</f>
        <v>12Go Link</v>
      </c>
      <c r="E5748" s="3" t="s">
        <v>94</v>
      </c>
      <c r="K5748" s="5"/>
    </row>
    <row r="5749">
      <c r="A5749" s="3" t="s">
        <v>3970</v>
      </c>
      <c r="B5749" s="3" t="s">
        <v>3834</v>
      </c>
      <c r="C5749" s="3" t="s">
        <v>5803</v>
      </c>
      <c r="D5749" s="4" t="str">
        <f>HYPERLINK("https://12go.asia/en/travel/navi-mumbai/manmad", "12Go Link")</f>
        <v>12Go Link</v>
      </c>
      <c r="E5749" s="3" t="s">
        <v>94</v>
      </c>
      <c r="K5749" s="5"/>
    </row>
    <row r="5750">
      <c r="A5750" s="3" t="s">
        <v>3970</v>
      </c>
      <c r="B5750" s="3" t="s">
        <v>165</v>
      </c>
      <c r="C5750" s="3" t="s">
        <v>5804</v>
      </c>
      <c r="D5750" s="4" t="str">
        <f>HYPERLINK("https://12go.asia/en/travel/navi-mumbai/madgaon", "12Go Link")</f>
        <v>12Go Link</v>
      </c>
      <c r="E5750" s="3" t="s">
        <v>94</v>
      </c>
      <c r="K5750" s="5"/>
    </row>
    <row r="5751">
      <c r="A5751" s="3" t="s">
        <v>3970</v>
      </c>
      <c r="B5751" s="3" t="s">
        <v>170</v>
      </c>
      <c r="C5751" s="3" t="s">
        <v>5805</v>
      </c>
      <c r="D5751" s="4" t="str">
        <f>HYPERLINK("https://12go.asia/en/travel/navi-mumbai/miraj", "12Go Link")</f>
        <v>12Go Link</v>
      </c>
      <c r="E5751" s="3" t="s">
        <v>94</v>
      </c>
      <c r="K5751" s="5"/>
    </row>
    <row r="5752">
      <c r="A5752" s="3" t="s">
        <v>3970</v>
      </c>
      <c r="B5752" s="3" t="s">
        <v>3690</v>
      </c>
      <c r="C5752" s="3" t="s">
        <v>5806</v>
      </c>
      <c r="D5752" s="4" t="str">
        <f>HYPERLINK("https://12go.asia/en/travel/navi-mumbai/mumbai", "12Go Link")</f>
        <v>12Go Link</v>
      </c>
      <c r="E5752" s="3" t="s">
        <v>94</v>
      </c>
      <c r="K5752" s="5"/>
    </row>
    <row r="5753">
      <c r="A5753" s="3" t="s">
        <v>3970</v>
      </c>
      <c r="B5753" s="3" t="s">
        <v>5807</v>
      </c>
      <c r="C5753" s="3" t="s">
        <v>5808</v>
      </c>
      <c r="D5753" s="4" t="str">
        <f>HYPERLINK("https://12go.asia/en/travel/navi-mumbai/murdeshwar", "12Go Link")</f>
        <v>12Go Link</v>
      </c>
      <c r="E5753" s="3" t="s">
        <v>94</v>
      </c>
      <c r="K5753" s="5"/>
    </row>
    <row r="5754">
      <c r="A5754" s="3" t="s">
        <v>3970</v>
      </c>
      <c r="B5754" s="3" t="s">
        <v>3914</v>
      </c>
      <c r="C5754" s="3" t="s">
        <v>5809</v>
      </c>
      <c r="D5754" s="4" t="str">
        <f>HYPERLINK("https://12go.asia/en/travel/navi-mumbai/nanded", "12Go Link")</f>
        <v>12Go Link</v>
      </c>
      <c r="E5754" s="3" t="s">
        <v>94</v>
      </c>
      <c r="K5754" s="5"/>
    </row>
    <row r="5755">
      <c r="A5755" s="3" t="s">
        <v>3970</v>
      </c>
      <c r="B5755" s="3" t="s">
        <v>4407</v>
      </c>
      <c r="C5755" s="3" t="s">
        <v>5810</v>
      </c>
      <c r="D5755" s="4" t="str">
        <f>HYPERLINK("https://12go.asia/en/travel/navi-mumbai/nashik", "12Go Link")</f>
        <v>12Go Link</v>
      </c>
      <c r="E5755" s="3" t="s">
        <v>94</v>
      </c>
      <c r="K5755" s="5"/>
    </row>
    <row r="5756">
      <c r="A5756" s="3" t="s">
        <v>3970</v>
      </c>
      <c r="B5756" s="3" t="s">
        <v>5811</v>
      </c>
      <c r="C5756" s="3" t="s">
        <v>5812</v>
      </c>
      <c r="D5756" s="4" t="str">
        <f>HYPERLINK("https://12go.asia/en/travel/navi-mumbai/osmanabad", "12Go Link")</f>
        <v>12Go Link</v>
      </c>
      <c r="E5756" s="3" t="s">
        <v>94</v>
      </c>
      <c r="K5756" s="5"/>
    </row>
    <row r="5757">
      <c r="A5757" s="3" t="s">
        <v>3970</v>
      </c>
      <c r="B5757" s="3" t="s">
        <v>4971</v>
      </c>
      <c r="C5757" s="3" t="s">
        <v>5813</v>
      </c>
      <c r="D5757" s="4" t="str">
        <f>HYPERLINK("https://12go.asia/en/travel/navi-mumbai/parbhani", "12Go Link")</f>
        <v>12Go Link</v>
      </c>
      <c r="E5757" s="3" t="s">
        <v>94</v>
      </c>
      <c r="K5757" s="5"/>
    </row>
    <row r="5758">
      <c r="A5758" s="3" t="s">
        <v>3970</v>
      </c>
      <c r="B5758" s="3" t="s">
        <v>4974</v>
      </c>
      <c r="C5758" s="3" t="s">
        <v>5814</v>
      </c>
      <c r="D5758" s="4" t="str">
        <f>HYPERLINK("https://12go.asia/en/travel/navi-mumbai/parli-vaijnath", "12Go Link")</f>
        <v>12Go Link</v>
      </c>
      <c r="E5758" s="3" t="s">
        <v>94</v>
      </c>
      <c r="K5758" s="5"/>
    </row>
    <row r="5759">
      <c r="A5759" s="3" t="s">
        <v>3970</v>
      </c>
      <c r="B5759" s="3" t="s">
        <v>5815</v>
      </c>
      <c r="C5759" s="3" t="s">
        <v>5816</v>
      </c>
      <c r="D5759" s="4" t="str">
        <f>HYPERLINK("https://12go.asia/en/travel/navi-mumbai/pernem-goa", "12Go Link")</f>
        <v>12Go Link</v>
      </c>
      <c r="E5759" s="3" t="s">
        <v>94</v>
      </c>
      <c r="K5759" s="5"/>
    </row>
    <row r="5760">
      <c r="A5760" s="3" t="s">
        <v>3970</v>
      </c>
      <c r="B5760" s="3" t="s">
        <v>5817</v>
      </c>
      <c r="C5760" s="3" t="s">
        <v>5818</v>
      </c>
      <c r="D5760" s="4" t="str">
        <f>HYPERLINK("https://12go.asia/en/travel/navi-mumbai/pimpri-chinchwad", "12Go Link")</f>
        <v>12Go Link</v>
      </c>
      <c r="E5760" s="3" t="s">
        <v>94</v>
      </c>
      <c r="K5760" s="5"/>
    </row>
    <row r="5761">
      <c r="A5761" s="3" t="s">
        <v>3970</v>
      </c>
      <c r="B5761" s="3" t="s">
        <v>5124</v>
      </c>
      <c r="C5761" s="3" t="s">
        <v>5819</v>
      </c>
      <c r="D5761" s="4" t="str">
        <f>HYPERLINK("https://12go.asia/en/travel/navi-mumbai/rajkot", "12Go Link")</f>
        <v>12Go Link</v>
      </c>
      <c r="E5761" s="3" t="s">
        <v>94</v>
      </c>
      <c r="K5761" s="5"/>
    </row>
    <row r="5762">
      <c r="A5762" s="3" t="s">
        <v>3970</v>
      </c>
      <c r="B5762" s="3" t="s">
        <v>4023</v>
      </c>
      <c r="C5762" s="3" t="s">
        <v>5820</v>
      </c>
      <c r="D5762" s="4" t="str">
        <f>HYPERLINK("https://12go.asia/en/travel/navi-mumbai/ratlam", "12Go Link")</f>
        <v>12Go Link</v>
      </c>
      <c r="E5762" s="3" t="s">
        <v>94</v>
      </c>
      <c r="K5762" s="5"/>
    </row>
    <row r="5763">
      <c r="A5763" s="3" t="s">
        <v>3970</v>
      </c>
      <c r="B5763" s="3" t="s">
        <v>4539</v>
      </c>
      <c r="C5763" s="3" t="s">
        <v>5821</v>
      </c>
      <c r="D5763" s="4" t="str">
        <f>HYPERLINK("https://12go.asia/en/travel/navi-mumbai/ratnagiri", "12Go Link")</f>
        <v>12Go Link</v>
      </c>
      <c r="E5763" s="3" t="s">
        <v>94</v>
      </c>
      <c r="K5763" s="5"/>
    </row>
    <row r="5764">
      <c r="A5764" s="3" t="s">
        <v>3970</v>
      </c>
      <c r="B5764" s="3" t="s">
        <v>175</v>
      </c>
      <c r="C5764" s="3" t="s">
        <v>5822</v>
      </c>
      <c r="D5764" s="4" t="str">
        <f>HYPERLINK("https://12go.asia/en/travel/navi-mumbai/sangli", "12Go Link")</f>
        <v>12Go Link</v>
      </c>
      <c r="E5764" s="3" t="s">
        <v>94</v>
      </c>
      <c r="K5764" s="5"/>
    </row>
    <row r="5765">
      <c r="A5765" s="3" t="s">
        <v>3970</v>
      </c>
      <c r="B5765" s="3" t="s">
        <v>5823</v>
      </c>
      <c r="C5765" s="3" t="s">
        <v>5824</v>
      </c>
      <c r="D5765" s="4" t="str">
        <f>HYPERLINK("https://12go.asia/en/travel/navi-mumbai/sindhudurg", "12Go Link")</f>
        <v>12Go Link</v>
      </c>
      <c r="E5765" s="3" t="s">
        <v>94</v>
      </c>
      <c r="K5765" s="5"/>
    </row>
    <row r="5766">
      <c r="A5766" s="3" t="s">
        <v>3970</v>
      </c>
      <c r="B5766" s="3" t="s">
        <v>4631</v>
      </c>
      <c r="C5766" s="3" t="s">
        <v>5825</v>
      </c>
      <c r="D5766" s="4" t="str">
        <f>HYPERLINK("https://12go.asia/en/travel/navi-mumbai/solapur", "12Go Link")</f>
        <v>12Go Link</v>
      </c>
      <c r="E5766" s="3" t="s">
        <v>94</v>
      </c>
      <c r="K5766" s="5"/>
    </row>
    <row r="5767">
      <c r="A5767" s="3" t="s">
        <v>3970</v>
      </c>
      <c r="B5767" s="3" t="s">
        <v>180</v>
      </c>
      <c r="C5767" s="3" t="s">
        <v>5826</v>
      </c>
      <c r="D5767" s="4" t="str">
        <f>HYPERLINK("https://12go.asia/en/travel/navi-mumbai/surat", "12Go Link")</f>
        <v>12Go Link</v>
      </c>
      <c r="E5767" s="3" t="s">
        <v>94</v>
      </c>
      <c r="K5767" s="5"/>
    </row>
    <row r="5768">
      <c r="A5768" s="3" t="s">
        <v>3970</v>
      </c>
      <c r="B5768" s="3" t="s">
        <v>5827</v>
      </c>
      <c r="C5768" s="3" t="s">
        <v>5828</v>
      </c>
      <c r="D5768" s="4" t="str">
        <f>HYPERLINK("https://12go.asia/en/travel/navi-mumbai/surendranagar", "12Go Link")</f>
        <v>12Go Link</v>
      </c>
      <c r="E5768" s="3" t="s">
        <v>94</v>
      </c>
      <c r="K5768" s="5"/>
    </row>
    <row r="5769">
      <c r="A5769" s="3" t="s">
        <v>3970</v>
      </c>
      <c r="B5769" s="3" t="s">
        <v>5829</v>
      </c>
      <c r="C5769" s="3" t="s">
        <v>5830</v>
      </c>
      <c r="D5769" s="4" t="str">
        <f>HYPERLINK("https://12go.asia/en/travel/navi-mumbai/thalassery", "12Go Link")</f>
        <v>12Go Link</v>
      </c>
      <c r="E5769" s="3" t="s">
        <v>94</v>
      </c>
      <c r="K5769" s="5"/>
    </row>
    <row r="5770">
      <c r="A5770" s="3" t="s">
        <v>3970</v>
      </c>
      <c r="B5770" s="3" t="s">
        <v>4922</v>
      </c>
      <c r="C5770" s="3" t="s">
        <v>5831</v>
      </c>
      <c r="D5770" s="4" t="str">
        <f>HYPERLINK("https://12go.asia/en/travel/navi-mumbai/thane", "12Go Link")</f>
        <v>12Go Link</v>
      </c>
      <c r="E5770" s="3" t="s">
        <v>94</v>
      </c>
      <c r="K5770" s="5"/>
    </row>
    <row r="5771">
      <c r="A5771" s="3" t="s">
        <v>3970</v>
      </c>
      <c r="B5771" s="3" t="s">
        <v>5832</v>
      </c>
      <c r="C5771" s="3" t="s">
        <v>5833</v>
      </c>
      <c r="D5771" s="4" t="str">
        <f>HYPERLINK("https://12go.asia/en/travel/navi-mumbai/thrissur", "12Go Link")</f>
        <v>12Go Link</v>
      </c>
      <c r="E5771" s="3" t="s">
        <v>94</v>
      </c>
      <c r="K5771" s="5"/>
    </row>
    <row r="5772">
      <c r="A5772" s="3" t="s">
        <v>3970</v>
      </c>
      <c r="B5772" s="3" t="s">
        <v>5834</v>
      </c>
      <c r="C5772" s="3" t="s">
        <v>5835</v>
      </c>
      <c r="D5772" s="4" t="str">
        <f>HYPERLINK("https://12go.asia/en/travel/navi-mumbai/trivandrum", "12Go Link")</f>
        <v>12Go Link</v>
      </c>
      <c r="E5772" s="3" t="s">
        <v>94</v>
      </c>
      <c r="K5772" s="5"/>
    </row>
    <row r="5773">
      <c r="A5773" s="3" t="s">
        <v>3970</v>
      </c>
      <c r="B5773" s="3" t="s">
        <v>4328</v>
      </c>
      <c r="C5773" s="3" t="s">
        <v>5836</v>
      </c>
      <c r="D5773" s="4" t="str">
        <f>HYPERLINK("https://12go.asia/en/travel/navi-mumbai/udupi", "12Go Link")</f>
        <v>12Go Link</v>
      </c>
      <c r="E5773" s="3" t="s">
        <v>94</v>
      </c>
      <c r="K5773" s="5"/>
    </row>
    <row r="5774">
      <c r="A5774" s="3" t="s">
        <v>3970</v>
      </c>
      <c r="B5774" s="3" t="s">
        <v>4218</v>
      </c>
      <c r="C5774" s="3" t="s">
        <v>5837</v>
      </c>
      <c r="D5774" s="4" t="str">
        <f>HYPERLINK("https://12go.asia/en/travel/navi-mumbai/uttar-pradesh", "12Go Link")</f>
        <v>12Go Link</v>
      </c>
      <c r="E5774" s="3" t="s">
        <v>94</v>
      </c>
      <c r="K5774" s="5"/>
    </row>
    <row r="5775">
      <c r="A5775" s="3" t="s">
        <v>3970</v>
      </c>
      <c r="B5775" s="3" t="s">
        <v>5838</v>
      </c>
      <c r="C5775" s="3" t="s">
        <v>5839</v>
      </c>
      <c r="D5775" s="4" t="str">
        <f>HYPERLINK("https://12go.asia/en/travel/navi-mumbai/valsad", "12Go Link")</f>
        <v>12Go Link</v>
      </c>
      <c r="E5775" s="3" t="s">
        <v>94</v>
      </c>
      <c r="K5775" s="5"/>
    </row>
    <row r="5776">
      <c r="A5776" s="3" t="s">
        <v>3970</v>
      </c>
      <c r="B5776" s="3" t="s">
        <v>4026</v>
      </c>
      <c r="C5776" s="3" t="s">
        <v>5840</v>
      </c>
      <c r="D5776" s="4" t="str">
        <f>HYPERLINK("https://12go.asia/en/travel/navi-mumbai/vapi", "12Go Link")</f>
        <v>12Go Link</v>
      </c>
      <c r="E5776" s="3" t="s">
        <v>94</v>
      </c>
      <c r="K5776" s="5"/>
    </row>
    <row r="5777">
      <c r="A5777" s="3" t="s">
        <v>3970</v>
      </c>
      <c r="B5777" s="3" t="s">
        <v>5254</v>
      </c>
      <c r="C5777" s="3" t="s">
        <v>5841</v>
      </c>
      <c r="D5777" s="4" t="str">
        <f>HYPERLINK("https://12go.asia/en/travel/navi-mumbai/varkala", "12Go Link")</f>
        <v>12Go Link</v>
      </c>
      <c r="E5777" s="3" t="s">
        <v>94</v>
      </c>
      <c r="K5777" s="5"/>
    </row>
    <row r="5778">
      <c r="A5778" s="3" t="s">
        <v>5842</v>
      </c>
      <c r="B5778" s="3" t="s">
        <v>3970</v>
      </c>
      <c r="C5778" s="3" t="s">
        <v>5843</v>
      </c>
      <c r="D5778" s="4" t="str">
        <f>HYPERLINK("https://12go.asia/en/travel/navsari/navi-mumbai", "12Go Link")</f>
        <v>12Go Link</v>
      </c>
      <c r="E5778" s="3" t="s">
        <v>94</v>
      </c>
      <c r="K5778" s="5"/>
    </row>
    <row r="5779">
      <c r="A5779" s="3" t="s">
        <v>5414</v>
      </c>
      <c r="B5779" s="3" t="s">
        <v>3701</v>
      </c>
      <c r="C5779" s="3" t="s">
        <v>5844</v>
      </c>
      <c r="D5779" s="4" t="str">
        <f>HYPERLINK("https://12go.asia/en/travel/nawada/howrah", "12Go Link")</f>
        <v>12Go Link</v>
      </c>
      <c r="E5779" s="3" t="s">
        <v>94</v>
      </c>
      <c r="K5779" s="5"/>
    </row>
    <row r="5780">
      <c r="A5780" s="3" t="s">
        <v>5414</v>
      </c>
      <c r="B5780" s="3" t="s">
        <v>3704</v>
      </c>
      <c r="C5780" s="3" t="s">
        <v>5845</v>
      </c>
      <c r="D5780" s="4" t="str">
        <f>HYPERLINK("https://12go.asia/en/travel/nawada/kolkata", "12Go Link")</f>
        <v>12Go Link</v>
      </c>
      <c r="E5780" s="3" t="s">
        <v>94</v>
      </c>
      <c r="K5780" s="5"/>
    </row>
    <row r="5781">
      <c r="A5781" s="3" t="s">
        <v>5414</v>
      </c>
      <c r="B5781" s="3" t="s">
        <v>3708</v>
      </c>
      <c r="C5781" s="3" t="s">
        <v>5846</v>
      </c>
      <c r="D5781" s="4" t="str">
        <f>HYPERLINK("https://12go.asia/en/travel/nawada/west-bengal", "12Go Link")</f>
        <v>12Go Link</v>
      </c>
      <c r="E5781" s="3" t="s">
        <v>94</v>
      </c>
      <c r="K5781" s="5"/>
    </row>
    <row r="5782">
      <c r="A5782" s="3" t="s">
        <v>5847</v>
      </c>
      <c r="B5782" s="3" t="s">
        <v>5600</v>
      </c>
      <c r="C5782" s="3" t="s">
        <v>5848</v>
      </c>
      <c r="D5782" s="4" t="str">
        <f>HYPERLINK("https://12go.asia/en/travel/neemuch/chittorgarh", "12Go Link")</f>
        <v>12Go Link</v>
      </c>
      <c r="E5782" s="3" t="s">
        <v>94</v>
      </c>
      <c r="K5782" s="5"/>
    </row>
    <row r="5783">
      <c r="A5783" s="3" t="s">
        <v>5847</v>
      </c>
      <c r="B5783" s="3" t="s">
        <v>5600</v>
      </c>
      <c r="C5783" s="3" t="s">
        <v>5849</v>
      </c>
      <c r="D5783" s="4" t="str">
        <f>HYPERLINK("https://12go.asia/en/travel/nimach/chittaurgarh", "12Go Link")</f>
        <v>12Go Link</v>
      </c>
      <c r="E5783" s="3" t="s">
        <v>94</v>
      </c>
      <c r="K5783" s="5"/>
    </row>
    <row r="5784">
      <c r="A5784" s="3" t="s">
        <v>5847</v>
      </c>
      <c r="B5784" s="3" t="s">
        <v>163</v>
      </c>
      <c r="C5784" s="3" t="s">
        <v>5850</v>
      </c>
      <c r="D5784" s="4" t="str">
        <f>HYPERLINK("https://12go.asia/en/travel/neemuch/maharashtra", "12Go Link")</f>
        <v>12Go Link</v>
      </c>
      <c r="E5784" s="3" t="s">
        <v>94</v>
      </c>
      <c r="K5784" s="5"/>
    </row>
    <row r="5785">
      <c r="A5785" s="3" t="s">
        <v>5847</v>
      </c>
      <c r="B5785" s="3" t="s">
        <v>3690</v>
      </c>
      <c r="C5785" s="3" t="s">
        <v>5851</v>
      </c>
      <c r="D5785" s="4" t="str">
        <f>HYPERLINK("https://12go.asia/en/travel/neemuch/mumbai", "12Go Link")</f>
        <v>12Go Link</v>
      </c>
      <c r="E5785" s="3" t="s">
        <v>94</v>
      </c>
      <c r="K5785" s="5"/>
    </row>
    <row r="5786">
      <c r="A5786" s="3" t="s">
        <v>5847</v>
      </c>
      <c r="B5786" s="3" t="s">
        <v>3633</v>
      </c>
      <c r="C5786" s="3" t="s">
        <v>5852</v>
      </c>
      <c r="D5786" s="4" t="str">
        <f>HYPERLINK("https://12go.asia/en/travel/neemuch/rajasthan", "12Go Link")</f>
        <v>12Go Link</v>
      </c>
      <c r="E5786" s="3" t="s">
        <v>94</v>
      </c>
      <c r="K5786" s="5"/>
    </row>
    <row r="5787">
      <c r="A5787" s="3" t="s">
        <v>3744</v>
      </c>
      <c r="B5787" s="3" t="s">
        <v>3719</v>
      </c>
      <c r="C5787" s="3" t="s">
        <v>5853</v>
      </c>
      <c r="D5787" s="4" t="str">
        <f>HYPERLINK("https://12go.asia/en/travel/nellore/duvvada", "12Go Link")</f>
        <v>12Go Link</v>
      </c>
      <c r="E5787" s="3" t="s">
        <v>94</v>
      </c>
      <c r="K5787" s="5"/>
    </row>
    <row r="5788">
      <c r="A5788" s="3" t="s">
        <v>3744</v>
      </c>
      <c r="B5788" s="3" t="s">
        <v>3728</v>
      </c>
      <c r="C5788" s="3" t="s">
        <v>5854</v>
      </c>
      <c r="D5788" s="4" t="str">
        <f>HYPERLINK("https://12go.asia/en/travel/nellore/katpadi", "12Go Link")</f>
        <v>12Go Link</v>
      </c>
      <c r="E5788" s="3" t="s">
        <v>94</v>
      </c>
      <c r="K5788" s="5"/>
    </row>
    <row r="5789">
      <c r="A5789" s="3" t="s">
        <v>3744</v>
      </c>
      <c r="B5789" s="3" t="s">
        <v>3728</v>
      </c>
      <c r="C5789" s="3" t="s">
        <v>5855</v>
      </c>
      <c r="D5789" s="4" t="str">
        <f>HYPERLINK("https://12go.asia/en/travel/nellore/katpadi-junction", "12Go Link")</f>
        <v>12Go Link</v>
      </c>
      <c r="E5789" s="3" t="s">
        <v>94</v>
      </c>
      <c r="K5789" s="5"/>
    </row>
    <row r="5790">
      <c r="A5790" s="3" t="s">
        <v>3744</v>
      </c>
      <c r="B5790" s="3" t="s">
        <v>3678</v>
      </c>
      <c r="C5790" s="3" t="s">
        <v>5856</v>
      </c>
      <c r="D5790" s="4" t="str">
        <f>HYPERLINK("https://12go.asia/en/travel/nellore/lingampalli", "12Go Link")</f>
        <v>12Go Link</v>
      </c>
      <c r="E5790" s="3" t="s">
        <v>94</v>
      </c>
      <c r="K5790" s="5"/>
    </row>
    <row r="5791">
      <c r="A5791" s="3" t="s">
        <v>3744</v>
      </c>
      <c r="B5791" s="3" t="s">
        <v>3750</v>
      </c>
      <c r="C5791" s="3" t="s">
        <v>5857</v>
      </c>
      <c r="D5791" s="4" t="str">
        <f>HYPERLINK("https://12go.asia/en/travel/nellore/podanur", "12Go Link")</f>
        <v>12Go Link</v>
      </c>
      <c r="E5791" s="3" t="s">
        <v>94</v>
      </c>
      <c r="K5791" s="5"/>
    </row>
    <row r="5792">
      <c r="A5792" s="3" t="s">
        <v>3744</v>
      </c>
      <c r="B5792" s="3" t="s">
        <v>3750</v>
      </c>
      <c r="C5792" s="3" t="s">
        <v>5858</v>
      </c>
      <c r="D5792" s="4" t="str">
        <f>HYPERLINK("https://12go.asia/en/travel/nellore/podanur-junction", "12Go Link")</f>
        <v>12Go Link</v>
      </c>
      <c r="E5792" s="3" t="s">
        <v>94</v>
      </c>
      <c r="K5792" s="5"/>
    </row>
    <row r="5793">
      <c r="A5793" s="3" t="s">
        <v>3744</v>
      </c>
      <c r="B5793" s="3" t="s">
        <v>3773</v>
      </c>
      <c r="C5793" s="3" t="s">
        <v>5859</v>
      </c>
      <c r="D5793" s="4" t="str">
        <f>HYPERLINK("https://12go.asia/en/travel/nellore/tambaram", "12Go Link")</f>
        <v>12Go Link</v>
      </c>
      <c r="E5793" s="3" t="s">
        <v>94</v>
      </c>
      <c r="K5793" s="5"/>
    </row>
    <row r="5794">
      <c r="A5794" s="3" t="s">
        <v>3842</v>
      </c>
      <c r="B5794" s="3" t="s">
        <v>5860</v>
      </c>
      <c r="C5794" s="3" t="s">
        <v>5861</v>
      </c>
      <c r="D5794" s="4" t="str">
        <f>HYPERLINK("https://12go.asia/en/travel/new-delhi/adampur", "12Go Link")</f>
        <v>12Go Link</v>
      </c>
      <c r="E5794" s="3" t="s">
        <v>94</v>
      </c>
      <c r="K5794" s="5"/>
    </row>
    <row r="5795">
      <c r="A5795" s="3" t="s">
        <v>3842</v>
      </c>
      <c r="B5795" s="3" t="s">
        <v>4001</v>
      </c>
      <c r="C5795" s="3" t="s">
        <v>5862</v>
      </c>
      <c r="D5795" s="4" t="str">
        <f>HYPERLINK("https://12go.asia/en/travel/new-delhi/anugraha-narayan-road", "12Go Link")</f>
        <v>12Go Link</v>
      </c>
      <c r="E5795" s="3" t="s">
        <v>94</v>
      </c>
      <c r="K5795" s="5"/>
    </row>
    <row r="5796">
      <c r="A5796" s="3" t="s">
        <v>3842</v>
      </c>
      <c r="B5796" s="3" t="s">
        <v>4297</v>
      </c>
      <c r="C5796" s="3" t="s">
        <v>5863</v>
      </c>
      <c r="D5796" s="4" t="str">
        <f>HYPERLINK("https://12go.asia/en/travel/new-delhi/chandipur", "12Go Link")</f>
        <v>12Go Link</v>
      </c>
      <c r="E5796" s="3" t="s">
        <v>94</v>
      </c>
      <c r="K5796" s="5"/>
    </row>
    <row r="5797">
      <c r="A5797" s="3" t="s">
        <v>3842</v>
      </c>
      <c r="B5797" s="3" t="s">
        <v>4447</v>
      </c>
      <c r="C5797" s="3" t="s">
        <v>5864</v>
      </c>
      <c r="D5797" s="4" t="str">
        <f>HYPERLINK("https://12go.asia/en/travel/new-delhi/new-cooch-behar", "12Go Link")</f>
        <v>12Go Link</v>
      </c>
      <c r="E5797" s="3" t="s">
        <v>94</v>
      </c>
      <c r="K5797" s="5"/>
    </row>
    <row r="5798">
      <c r="A5798" s="3" t="s">
        <v>3842</v>
      </c>
      <c r="B5798" s="3" t="s">
        <v>4498</v>
      </c>
      <c r="C5798" s="3" t="s">
        <v>5865</v>
      </c>
      <c r="D5798" s="4" t="str">
        <f>HYPERLINK("https://12go.asia/en/travel/new-delhi/dwarka", "12Go Link")</f>
        <v>12Go Link</v>
      </c>
      <c r="E5798" s="3" t="s">
        <v>94</v>
      </c>
      <c r="K5798" s="5"/>
    </row>
    <row r="5799">
      <c r="A5799" s="3" t="s">
        <v>3842</v>
      </c>
      <c r="B5799" s="3" t="s">
        <v>3721</v>
      </c>
      <c r="C5799" s="3" t="s">
        <v>5866</v>
      </c>
      <c r="D5799" s="4" t="str">
        <f>HYPERLINK("https://12go.asia/en/travel/new-delhi/eluru", "12Go Link")</f>
        <v>12Go Link</v>
      </c>
      <c r="E5799" s="3" t="s">
        <v>94</v>
      </c>
      <c r="K5799" s="5"/>
    </row>
    <row r="5800">
      <c r="A5800" s="3" t="s">
        <v>3842</v>
      </c>
      <c r="B5800" s="3" t="s">
        <v>4501</v>
      </c>
      <c r="C5800" s="3" t="s">
        <v>5867</v>
      </c>
      <c r="D5800" s="4" t="str">
        <f>HYPERLINK("https://12go.asia/en/travel/new-delhi/gajraula", "12Go Link")</f>
        <v>12Go Link</v>
      </c>
      <c r="E5800" s="3" t="s">
        <v>94</v>
      </c>
      <c r="K5800" s="5"/>
    </row>
    <row r="5801">
      <c r="A5801" s="3" t="s">
        <v>3842</v>
      </c>
      <c r="B5801" s="3" t="s">
        <v>4501</v>
      </c>
      <c r="C5801" s="3" t="s">
        <v>5868</v>
      </c>
      <c r="D5801" s="4" t="str">
        <f>HYPERLINK("https://12go.asia/en/travel/new-delhi/gajraula-junction", "12Go Link")</f>
        <v>12Go Link</v>
      </c>
      <c r="E5801" s="3" t="s">
        <v>94</v>
      </c>
      <c r="K5801" s="5"/>
    </row>
    <row r="5802">
      <c r="A5802" s="3" t="s">
        <v>3842</v>
      </c>
      <c r="B5802" s="3" t="s">
        <v>4727</v>
      </c>
      <c r="C5802" s="3" t="s">
        <v>5869</v>
      </c>
      <c r="D5802" s="4" t="str">
        <f>HYPERLINK("https://12go.asia/en/travel/new-delhi/gondia", "12Go Link")</f>
        <v>12Go Link</v>
      </c>
      <c r="E5802" s="3" t="s">
        <v>94</v>
      </c>
      <c r="K5802" s="5"/>
    </row>
    <row r="5803">
      <c r="A5803" s="3" t="s">
        <v>3842</v>
      </c>
      <c r="B5803" s="3" t="s">
        <v>4503</v>
      </c>
      <c r="C5803" s="3" t="s">
        <v>5870</v>
      </c>
      <c r="D5803" s="4" t="str">
        <f>HYPERLINK("https://12go.asia/en/travel/new-delhi/gotan", "12Go Link")</f>
        <v>12Go Link</v>
      </c>
      <c r="E5803" s="3" t="s">
        <v>94</v>
      </c>
      <c r="K5803" s="5"/>
    </row>
    <row r="5804">
      <c r="A5804" s="3" t="s">
        <v>3842</v>
      </c>
      <c r="B5804" s="3" t="s">
        <v>5685</v>
      </c>
      <c r="C5804" s="3" t="s">
        <v>5871</v>
      </c>
      <c r="D5804" s="4" t="str">
        <f>HYPERLINK("https://12go.asia/en/travel/new-delhi/hazaribagh-road", "12Go Link")</f>
        <v>12Go Link</v>
      </c>
      <c r="E5804" s="3" t="s">
        <v>94</v>
      </c>
      <c r="K5804" s="5"/>
    </row>
    <row r="5805">
      <c r="A5805" s="3" t="s">
        <v>3842</v>
      </c>
      <c r="B5805" s="3" t="s">
        <v>4162</v>
      </c>
      <c r="C5805" s="3" t="s">
        <v>5872</v>
      </c>
      <c r="D5805" s="4" t="str">
        <f>HYPERLINK("https://12go.asia/en/travel/new-delhi/itarsi", "12Go Link")</f>
        <v>12Go Link</v>
      </c>
      <c r="E5805" s="3" t="s">
        <v>94</v>
      </c>
      <c r="K5805" s="5"/>
    </row>
    <row r="5806">
      <c r="A5806" s="3" t="s">
        <v>3842</v>
      </c>
      <c r="B5806" s="3" t="s">
        <v>3955</v>
      </c>
      <c r="C5806" s="3" t="s">
        <v>5873</v>
      </c>
      <c r="D5806" s="4" t="str">
        <f>HYPERLINK("https://12go.asia/en/travel/new-delhi/govindpuri", "12Go Link")</f>
        <v>12Go Link</v>
      </c>
      <c r="E5806" s="3" t="s">
        <v>94</v>
      </c>
      <c r="K5806" s="5"/>
    </row>
    <row r="5807">
      <c r="A5807" s="3" t="s">
        <v>3842</v>
      </c>
      <c r="B5807" s="3" t="s">
        <v>4351</v>
      </c>
      <c r="C5807" s="3" t="s">
        <v>5874</v>
      </c>
      <c r="D5807" s="4" t="str">
        <f>HYPERLINK("https://12go.asia/en/travel/new-delhi/kasaragod", "12Go Link")</f>
        <v>12Go Link</v>
      </c>
      <c r="E5807" s="3" t="s">
        <v>94</v>
      </c>
      <c r="K5807" s="5"/>
    </row>
    <row r="5808">
      <c r="A5808" s="3" t="s">
        <v>3842</v>
      </c>
      <c r="B5808" s="3" t="s">
        <v>4520</v>
      </c>
      <c r="C5808" s="3" t="s">
        <v>5875</v>
      </c>
      <c r="D5808" s="4" t="str">
        <f>HYPERLINK("https://12go.asia/en/travel/new-delhi/khurja", "12Go Link")</f>
        <v>12Go Link</v>
      </c>
      <c r="E5808" s="3" t="s">
        <v>94</v>
      </c>
      <c r="K5808" s="5"/>
    </row>
    <row r="5809">
      <c r="A5809" s="3" t="s">
        <v>3842</v>
      </c>
      <c r="B5809" s="3" t="s">
        <v>4520</v>
      </c>
      <c r="C5809" s="3" t="s">
        <v>5876</v>
      </c>
      <c r="D5809" s="4" t="str">
        <f>HYPERLINK("https://12go.asia/en/travel/new-delhi/khurja-junction", "12Go Link")</f>
        <v>12Go Link</v>
      </c>
      <c r="E5809" s="3" t="s">
        <v>94</v>
      </c>
      <c r="K5809" s="5"/>
    </row>
    <row r="5810">
      <c r="A5810" s="3" t="s">
        <v>3842</v>
      </c>
      <c r="B5810" s="3" t="s">
        <v>4524</v>
      </c>
      <c r="C5810" s="3" t="s">
        <v>5877</v>
      </c>
      <c r="D5810" s="4" t="str">
        <f>HYPERLINK("https://12go.asia/en/travel/new-delhi/kiul", "12Go Link")</f>
        <v>12Go Link</v>
      </c>
      <c r="E5810" s="3" t="s">
        <v>94</v>
      </c>
      <c r="K5810" s="5"/>
    </row>
    <row r="5811">
      <c r="A5811" s="3" t="s">
        <v>3842</v>
      </c>
      <c r="B5811" s="3" t="s">
        <v>5878</v>
      </c>
      <c r="C5811" s="3" t="s">
        <v>5879</v>
      </c>
      <c r="D5811" s="4" t="str">
        <f>HYPERLINK("https://12go.asia/en/travel/new-delhi/luckeesarai", "12Go Link")</f>
        <v>12Go Link</v>
      </c>
      <c r="E5811" s="3" t="s">
        <v>94</v>
      </c>
      <c r="K5811" s="5"/>
    </row>
    <row r="5812">
      <c r="A5812" s="3" t="s">
        <v>3842</v>
      </c>
      <c r="B5812" s="3" t="s">
        <v>5880</v>
      </c>
      <c r="C5812" s="3" t="s">
        <v>5881</v>
      </c>
      <c r="D5812" s="4" t="str">
        <f>HYPERLINK("https://12go.asia/en/travel/new-delhi/lumding", "12Go Link")</f>
        <v>12Go Link</v>
      </c>
      <c r="E5812" s="3" t="s">
        <v>94</v>
      </c>
      <c r="K5812" s="5"/>
    </row>
    <row r="5813">
      <c r="A5813" s="3" t="s">
        <v>3842</v>
      </c>
      <c r="B5813" s="3" t="s">
        <v>5880</v>
      </c>
      <c r="C5813" s="3" t="s">
        <v>5882</v>
      </c>
      <c r="D5813" s="4" t="str">
        <f>HYPERLINK("https://12go.asia/en/travel/new-delhi/lumding-junction", "12Go Link")</f>
        <v>12Go Link</v>
      </c>
      <c r="E5813" s="3" t="s">
        <v>94</v>
      </c>
      <c r="K5813" s="5"/>
    </row>
    <row r="5814">
      <c r="A5814" s="3" t="s">
        <v>3842</v>
      </c>
      <c r="B5814" s="3" t="s">
        <v>4528</v>
      </c>
      <c r="C5814" s="3" t="s">
        <v>5883</v>
      </c>
      <c r="D5814" s="4" t="str">
        <f>HYPERLINK("https://12go.asia/en/travel/new-delhi/mainpuri", "12Go Link")</f>
        <v>12Go Link</v>
      </c>
      <c r="E5814" s="3" t="s">
        <v>94</v>
      </c>
      <c r="K5814" s="5"/>
    </row>
    <row r="5815">
      <c r="A5815" s="3" t="s">
        <v>3842</v>
      </c>
      <c r="B5815" s="3" t="s">
        <v>4532</v>
      </c>
      <c r="C5815" s="3" t="s">
        <v>5884</v>
      </c>
      <c r="D5815" s="4" t="str">
        <f>HYPERLINK("https://12go.asia/en/travel/new-delhi/narnaul", "12Go Link")</f>
        <v>12Go Link</v>
      </c>
      <c r="E5815" s="3" t="s">
        <v>94</v>
      </c>
      <c r="K5815" s="5"/>
    </row>
    <row r="5816">
      <c r="A5816" s="3" t="s">
        <v>3842</v>
      </c>
      <c r="B5816" s="3" t="s">
        <v>3970</v>
      </c>
      <c r="C5816" s="3" t="s">
        <v>5885</v>
      </c>
      <c r="D5816" s="4" t="str">
        <f>HYPERLINK("https://12go.asia/en/travel/new-delhi/navi-mumbai", "12Go Link")</f>
        <v>12Go Link</v>
      </c>
      <c r="E5816" s="3" t="s">
        <v>94</v>
      </c>
      <c r="K5816" s="5"/>
    </row>
    <row r="5817">
      <c r="A5817" s="3" t="s">
        <v>3842</v>
      </c>
      <c r="B5817" s="3" t="s">
        <v>4441</v>
      </c>
      <c r="C5817" s="3" t="s">
        <v>5886</v>
      </c>
      <c r="D5817" s="4" t="str">
        <f>HYPERLINK("https://12go.asia/en/travel/new-delhi/north-goa", "12Go Link")</f>
        <v>12Go Link</v>
      </c>
      <c r="E5817" s="3" t="s">
        <v>94</v>
      </c>
      <c r="K5817" s="5"/>
    </row>
    <row r="5818">
      <c r="A5818" s="3" t="s">
        <v>3842</v>
      </c>
      <c r="B5818" s="3" t="s">
        <v>5887</v>
      </c>
      <c r="C5818" s="3" t="s">
        <v>5888</v>
      </c>
      <c r="D5818" s="4" t="str">
        <f>HYPERLINK("https://12go.asia/en/travel/new-delhi/palwal", "12Go Link")</f>
        <v>12Go Link</v>
      </c>
      <c r="E5818" s="3" t="s">
        <v>94</v>
      </c>
      <c r="K5818" s="5"/>
    </row>
    <row r="5819">
      <c r="A5819" s="3" t="s">
        <v>3842</v>
      </c>
      <c r="B5819" s="3" t="s">
        <v>3752</v>
      </c>
      <c r="C5819" s="3" t="s">
        <v>5889</v>
      </c>
      <c r="D5819" s="4" t="str">
        <f>HYPERLINK("https://12go.asia/en/travel/new-delhi/prayagraj", "12Go Link")</f>
        <v>12Go Link</v>
      </c>
      <c r="E5819" s="3" t="s">
        <v>94</v>
      </c>
      <c r="K5819" s="5"/>
    </row>
    <row r="5820">
      <c r="A5820" s="3" t="s">
        <v>3842</v>
      </c>
      <c r="B5820" s="3" t="s">
        <v>4075</v>
      </c>
      <c r="C5820" s="3" t="s">
        <v>5890</v>
      </c>
      <c r="D5820" s="4" t="str">
        <f>HYPERLINK("https://12go.asia/en/travel/new-delhi/khurdpur", "12Go Link")</f>
        <v>12Go Link</v>
      </c>
      <c r="E5820" s="3" t="s">
        <v>94</v>
      </c>
      <c r="K5820" s="5"/>
    </row>
    <row r="5821">
      <c r="A5821" s="3" t="s">
        <v>3842</v>
      </c>
      <c r="B5821" s="3" t="s">
        <v>4075</v>
      </c>
      <c r="C5821" s="3" t="s">
        <v>5891</v>
      </c>
      <c r="D5821" s="4" t="str">
        <f>HYPERLINK("https://12go.asia/en/travel/new-delhi/mukerian", "12Go Link")</f>
        <v>12Go Link</v>
      </c>
      <c r="E5821" s="3" t="s">
        <v>94</v>
      </c>
      <c r="K5821" s="5"/>
    </row>
    <row r="5822">
      <c r="A5822" s="3" t="s">
        <v>3842</v>
      </c>
      <c r="B5822" s="3" t="s">
        <v>4075</v>
      </c>
      <c r="C5822" s="3" t="s">
        <v>5892</v>
      </c>
      <c r="D5822" s="4" t="str">
        <f>HYPERLINK("https://12go.asia/en/travel/new-delhi/rampura-phul", "12Go Link")</f>
        <v>12Go Link</v>
      </c>
      <c r="E5822" s="3" t="s">
        <v>94</v>
      </c>
      <c r="K5822" s="5"/>
    </row>
    <row r="5823">
      <c r="A5823" s="3" t="s">
        <v>3842</v>
      </c>
      <c r="B5823" s="3" t="s">
        <v>5893</v>
      </c>
      <c r="C5823" s="3" t="s">
        <v>5894</v>
      </c>
      <c r="D5823" s="4" t="str">
        <f>HYPERLINK("https://12go.asia/en/travel/new-delhi/ramdevra", "12Go Link")</f>
        <v>12Go Link</v>
      </c>
      <c r="E5823" s="3" t="s">
        <v>94</v>
      </c>
      <c r="K5823" s="5"/>
    </row>
    <row r="5824">
      <c r="A5824" s="3" t="s">
        <v>3842</v>
      </c>
      <c r="B5824" s="3" t="s">
        <v>5895</v>
      </c>
      <c r="C5824" s="3" t="s">
        <v>5896</v>
      </c>
      <c r="D5824" s="4" t="str">
        <f>HYPERLINK("https://12go.asia/en/travel/new-delhi/satara", "12Go Link")</f>
        <v>12Go Link</v>
      </c>
      <c r="E5824" s="3" t="s">
        <v>94</v>
      </c>
      <c r="K5824" s="5"/>
    </row>
    <row r="5825">
      <c r="A5825" s="3" t="s">
        <v>3842</v>
      </c>
      <c r="B5825" s="3" t="s">
        <v>5897</v>
      </c>
      <c r="C5825" s="3" t="s">
        <v>5898</v>
      </c>
      <c r="D5825" s="4" t="str">
        <f>HYPERLINK("https://12go.asia/en/travel/new-delhi/shahdol", "12Go Link")</f>
        <v>12Go Link</v>
      </c>
      <c r="E5825" s="3" t="s">
        <v>94</v>
      </c>
      <c r="K5825" s="5"/>
    </row>
    <row r="5826">
      <c r="A5826" s="3" t="s">
        <v>3842</v>
      </c>
      <c r="B5826" s="3" t="s">
        <v>183</v>
      </c>
      <c r="C5826" s="3" t="s">
        <v>5899</v>
      </c>
      <c r="D5826" s="4" t="str">
        <f>HYPERLINK("https://12go.asia/en/travel/new-delhi/tumakuru", "12Go Link")</f>
        <v>12Go Link</v>
      </c>
      <c r="E5826" s="3" t="s">
        <v>94</v>
      </c>
      <c r="K5826" s="5"/>
    </row>
    <row r="5827">
      <c r="A5827" s="3" t="s">
        <v>3842</v>
      </c>
      <c r="B5827" s="3" t="s">
        <v>4557</v>
      </c>
      <c r="C5827" s="3" t="s">
        <v>5900</v>
      </c>
      <c r="D5827" s="4" t="str">
        <f>HYPERLINK("https://12go.asia/en/travel/new-delhi/zamania", "12Go Link")</f>
        <v>12Go Link</v>
      </c>
      <c r="E5827" s="3" t="s">
        <v>94</v>
      </c>
      <c r="K5827" s="5"/>
    </row>
    <row r="5828">
      <c r="A5828" s="3" t="s">
        <v>5484</v>
      </c>
      <c r="B5828" s="3" t="s">
        <v>3986</v>
      </c>
      <c r="C5828" s="3" t="s">
        <v>5901</v>
      </c>
      <c r="D5828" s="4" t="str">
        <f>HYPERLINK("https://12go.asia/en/travel/nizamabad/jaipur", "12Go Link")</f>
        <v>12Go Link</v>
      </c>
      <c r="E5828" s="3" t="s">
        <v>94</v>
      </c>
      <c r="K5828" s="5"/>
    </row>
    <row r="5829">
      <c r="A5829" s="3" t="s">
        <v>5484</v>
      </c>
      <c r="B5829" s="3" t="s">
        <v>3914</v>
      </c>
      <c r="C5829" s="3" t="s">
        <v>5902</v>
      </c>
      <c r="D5829" s="4" t="str">
        <f>HYPERLINK("https://12go.asia/en/travel/nizamabad/nanded", "12Go Link")</f>
        <v>12Go Link</v>
      </c>
      <c r="E5829" s="3" t="s">
        <v>94</v>
      </c>
      <c r="K5829" s="5"/>
    </row>
    <row r="5830">
      <c r="A5830" s="3" t="s">
        <v>5484</v>
      </c>
      <c r="B5830" s="3" t="s">
        <v>3633</v>
      </c>
      <c r="C5830" s="3" t="s">
        <v>5903</v>
      </c>
      <c r="D5830" s="4" t="str">
        <f>HYPERLINK("https://12go.asia/en/travel/nizamabad/rajasthan", "12Go Link")</f>
        <v>12Go Link</v>
      </c>
      <c r="E5830" s="3" t="s">
        <v>94</v>
      </c>
      <c r="K5830" s="5"/>
    </row>
    <row r="5831">
      <c r="A5831" s="3" t="s">
        <v>5904</v>
      </c>
      <c r="B5831" s="3" t="s">
        <v>3690</v>
      </c>
      <c r="C5831" s="3" t="s">
        <v>5905</v>
      </c>
      <c r="D5831" s="4" t="str">
        <f>HYPERLINK("https://12go.asia/en/travel/panipat/mumbai", "12Go Link")</f>
        <v>12Go Link</v>
      </c>
      <c r="E5831" s="3" t="s">
        <v>94</v>
      </c>
      <c r="K5831" s="5"/>
    </row>
    <row r="5832">
      <c r="A5832" s="3" t="s">
        <v>5904</v>
      </c>
      <c r="B5832" s="3" t="s">
        <v>3970</v>
      </c>
      <c r="C5832" s="3" t="s">
        <v>5906</v>
      </c>
      <c r="D5832" s="4" t="str">
        <f>HYPERLINK("https://12go.asia/en/travel/panipat/navi-mumbai", "12Go Link")</f>
        <v>12Go Link</v>
      </c>
      <c r="E5832" s="3" t="s">
        <v>94</v>
      </c>
      <c r="K5832" s="5"/>
    </row>
    <row r="5833">
      <c r="A5833" s="3" t="s">
        <v>5904</v>
      </c>
      <c r="B5833" s="3" t="s">
        <v>5016</v>
      </c>
      <c r="C5833" s="3" t="s">
        <v>5907</v>
      </c>
      <c r="D5833" s="4" t="str">
        <f>HYPERLINK("https://12go.asia/en/travel/panipat-junction/panvel", "12Go Link")</f>
        <v>12Go Link</v>
      </c>
      <c r="E5833" s="3" t="s">
        <v>94</v>
      </c>
      <c r="K5833" s="5"/>
    </row>
    <row r="5834">
      <c r="A5834" s="3" t="s">
        <v>5904</v>
      </c>
      <c r="B5834" s="3" t="s">
        <v>5016</v>
      </c>
      <c r="C5834" s="3" t="s">
        <v>5908</v>
      </c>
      <c r="D5834" s="4" t="str">
        <f>HYPERLINK("https://12go.asia/en/travel/panipat/panvel", "12Go Link")</f>
        <v>12Go Link</v>
      </c>
      <c r="E5834" s="3" t="s">
        <v>94</v>
      </c>
      <c r="K5834" s="5"/>
    </row>
    <row r="5835">
      <c r="A5835" s="3" t="s">
        <v>5904</v>
      </c>
      <c r="B5835" s="3" t="s">
        <v>4075</v>
      </c>
      <c r="C5835" s="3" t="s">
        <v>5909</v>
      </c>
      <c r="D5835" s="4" t="str">
        <f>HYPERLINK("https://12go.asia/en/travel/panipat/punjab", "12Go Link")</f>
        <v>12Go Link</v>
      </c>
      <c r="E5835" s="3" t="s">
        <v>94</v>
      </c>
      <c r="K5835" s="5"/>
    </row>
    <row r="5836">
      <c r="A5836" s="3" t="s">
        <v>5016</v>
      </c>
      <c r="B5836" s="3" t="s">
        <v>3680</v>
      </c>
      <c r="C5836" s="3" t="s">
        <v>5910</v>
      </c>
      <c r="D5836" s="4" t="str">
        <f>HYPERLINK("https://12go.asia/en/travel/panvel/anand-gujarat", "12Go Link")</f>
        <v>12Go Link</v>
      </c>
      <c r="E5836" s="3" t="s">
        <v>94</v>
      </c>
      <c r="K5836" s="5"/>
    </row>
    <row r="5837">
      <c r="A5837" s="3" t="s">
        <v>5016</v>
      </c>
      <c r="B5837" s="3" t="s">
        <v>4033</v>
      </c>
      <c r="C5837" s="3" t="s">
        <v>5911</v>
      </c>
      <c r="D5837" s="4" t="str">
        <f>HYPERLINK("https://12go.asia/en/travel/panvel/anjuna", "12Go Link")</f>
        <v>12Go Link</v>
      </c>
      <c r="E5837" s="3" t="s">
        <v>94</v>
      </c>
      <c r="K5837" s="5"/>
    </row>
    <row r="5838">
      <c r="A5838" s="3" t="s">
        <v>5016</v>
      </c>
      <c r="B5838" s="3" t="s">
        <v>4245</v>
      </c>
      <c r="C5838" s="3" t="s">
        <v>5912</v>
      </c>
      <c r="D5838" s="4" t="str">
        <f>HYPERLINK("https://12go.asia/en/travel/panvel/boisar", "12Go Link")</f>
        <v>12Go Link</v>
      </c>
      <c r="E5838" s="3" t="s">
        <v>94</v>
      </c>
      <c r="K5838" s="5"/>
    </row>
    <row r="5839">
      <c r="A5839" s="3" t="s">
        <v>5016</v>
      </c>
      <c r="B5839" s="3" t="s">
        <v>3726</v>
      </c>
      <c r="C5839" s="3" t="s">
        <v>5913</v>
      </c>
      <c r="D5839" s="4" t="str">
        <f>HYPERLINK("https://12go.asia/en/travel/panvel/habibganj", "12Go Link")</f>
        <v>12Go Link</v>
      </c>
      <c r="E5839" s="3" t="s">
        <v>94</v>
      </c>
      <c r="K5839" s="5"/>
    </row>
    <row r="5840">
      <c r="A5840" s="3" t="s">
        <v>5016</v>
      </c>
      <c r="B5840" s="3" t="s">
        <v>5575</v>
      </c>
      <c r="C5840" s="3" t="s">
        <v>5914</v>
      </c>
      <c r="D5840" s="4" t="str">
        <f>HYPERLINK("https://12go.asia/en/travel/panvel/kankanadi", "12Go Link")</f>
        <v>12Go Link</v>
      </c>
      <c r="E5840" s="3" t="s">
        <v>94</v>
      </c>
      <c r="K5840" s="5"/>
    </row>
    <row r="5841">
      <c r="A5841" s="3" t="s">
        <v>5016</v>
      </c>
      <c r="B5841" s="3" t="s">
        <v>4257</v>
      </c>
      <c r="C5841" s="3" t="s">
        <v>5915</v>
      </c>
      <c r="D5841" s="4" t="str">
        <f>HYPERLINK("https://12go.asia/en/travel/panvel/khaira", "12Go Link")</f>
        <v>12Go Link</v>
      </c>
      <c r="E5841" s="3" t="s">
        <v>94</v>
      </c>
      <c r="K5841" s="5"/>
    </row>
    <row r="5842">
      <c r="A5842" s="3" t="s">
        <v>5016</v>
      </c>
      <c r="B5842" s="3" t="s">
        <v>3678</v>
      </c>
      <c r="C5842" s="3" t="s">
        <v>5916</v>
      </c>
      <c r="D5842" s="4" t="str">
        <f>HYPERLINK("https://12go.asia/en/travel/panvel/lingampalli", "12Go Link")</f>
        <v>12Go Link</v>
      </c>
      <c r="E5842" s="3" t="s">
        <v>94</v>
      </c>
      <c r="K5842" s="5"/>
    </row>
    <row r="5843">
      <c r="A5843" s="3" t="s">
        <v>5016</v>
      </c>
      <c r="B5843" s="3" t="s">
        <v>163</v>
      </c>
      <c r="C5843" s="3" t="s">
        <v>5917</v>
      </c>
      <c r="D5843" s="4" t="str">
        <f>HYPERLINK("https://12go.asia/en/travel/panvel/khed", "12Go Link")</f>
        <v>12Go Link</v>
      </c>
      <c r="E5843" s="3" t="s">
        <v>94</v>
      </c>
      <c r="K5843" s="5"/>
    </row>
    <row r="5844">
      <c r="A5844" s="3" t="s">
        <v>5016</v>
      </c>
      <c r="B5844" s="3" t="s">
        <v>3625</v>
      </c>
      <c r="C5844" s="3" t="s">
        <v>5918</v>
      </c>
      <c r="D5844" s="4" t="str">
        <f>HYPERLINK("https://12go.asia/en/travel/panvel/manipal", "12Go Link")</f>
        <v>12Go Link</v>
      </c>
      <c r="E5844" s="3" t="s">
        <v>94</v>
      </c>
      <c r="K5844" s="5"/>
    </row>
    <row r="5845">
      <c r="A5845" s="3" t="s">
        <v>5016</v>
      </c>
      <c r="B5845" s="3" t="s">
        <v>5807</v>
      </c>
      <c r="C5845" s="3" t="s">
        <v>5919</v>
      </c>
      <c r="D5845" s="4" t="str">
        <f>HYPERLINK("https://12go.asia/en/travel/panvel/murdeshwar", "12Go Link")</f>
        <v>12Go Link</v>
      </c>
      <c r="E5845" s="3" t="s">
        <v>94</v>
      </c>
      <c r="K5845" s="5"/>
    </row>
    <row r="5846">
      <c r="A5846" s="3" t="s">
        <v>5016</v>
      </c>
      <c r="B5846" s="3" t="s">
        <v>5811</v>
      </c>
      <c r="C5846" s="3" t="s">
        <v>5920</v>
      </c>
      <c r="D5846" s="4" t="str">
        <f>HYPERLINK("https://12go.asia/en/travel/panvel/osmanabad", "12Go Link")</f>
        <v>12Go Link</v>
      </c>
      <c r="E5846" s="3" t="s">
        <v>94</v>
      </c>
      <c r="K5846" s="5"/>
    </row>
    <row r="5847">
      <c r="A5847" s="3" t="s">
        <v>5016</v>
      </c>
      <c r="B5847" s="3" t="s">
        <v>5817</v>
      </c>
      <c r="C5847" s="3" t="s">
        <v>5921</v>
      </c>
      <c r="D5847" s="4" t="str">
        <f>HYPERLINK("https://12go.asia/en/travel/panvel/chinchvad", "12Go Link")</f>
        <v>12Go Link</v>
      </c>
      <c r="E5847" s="3" t="s">
        <v>94</v>
      </c>
      <c r="K5847" s="5"/>
    </row>
    <row r="5848">
      <c r="A5848" s="3" t="s">
        <v>5016</v>
      </c>
      <c r="B5848" s="3" t="s">
        <v>5817</v>
      </c>
      <c r="C5848" s="3" t="s">
        <v>5922</v>
      </c>
      <c r="D5848" s="4" t="str">
        <f>HYPERLINK("https://12go.asia/en/travel/panvel/pimpri-chinchwad", "12Go Link")</f>
        <v>12Go Link</v>
      </c>
      <c r="E5848" s="3" t="s">
        <v>94</v>
      </c>
      <c r="K5848" s="5"/>
    </row>
    <row r="5849">
      <c r="A5849" s="3" t="s">
        <v>5016</v>
      </c>
      <c r="B5849" s="3" t="s">
        <v>5827</v>
      </c>
      <c r="C5849" s="3" t="s">
        <v>5923</v>
      </c>
      <c r="D5849" s="4" t="str">
        <f>HYPERLINK("https://12go.asia/en/travel/panvel/surendranagar", "12Go Link")</f>
        <v>12Go Link</v>
      </c>
      <c r="E5849" s="3" t="s">
        <v>94</v>
      </c>
      <c r="K5849" s="5"/>
    </row>
    <row r="5850">
      <c r="A5850" s="3" t="s">
        <v>5016</v>
      </c>
      <c r="B5850" s="3" t="s">
        <v>4143</v>
      </c>
      <c r="C5850" s="3" t="s">
        <v>5924</v>
      </c>
      <c r="D5850" s="4" t="str">
        <f>HYPERLINK("https://12go.asia/en/travel/panvel/telangana", "12Go Link")</f>
        <v>12Go Link</v>
      </c>
      <c r="E5850" s="3" t="s">
        <v>94</v>
      </c>
      <c r="K5850" s="5"/>
    </row>
    <row r="5851">
      <c r="A5851" s="3" t="s">
        <v>5016</v>
      </c>
      <c r="B5851" s="3" t="s">
        <v>238</v>
      </c>
      <c r="C5851" s="3" t="s">
        <v>5925</v>
      </c>
      <c r="D5851" s="4" t="str">
        <f>HYPERLINK("https://12go.asia/en/travel/panvel/bangkok", "12Go Link")</f>
        <v>12Go Link</v>
      </c>
      <c r="E5851" s="3" t="s">
        <v>3568</v>
      </c>
      <c r="K5851" s="5"/>
    </row>
    <row r="5852">
      <c r="A5852" s="3" t="s">
        <v>5016</v>
      </c>
      <c r="B5852" s="3" t="s">
        <v>5926</v>
      </c>
      <c r="C5852" s="3" t="s">
        <v>5927</v>
      </c>
      <c r="D5852" s="4" t="str">
        <f>HYPERLINK("https://12go.asia/en/travel/panvel/bangkok-airport", "12Go Link")</f>
        <v>12Go Link</v>
      </c>
      <c r="E5852" s="3" t="s">
        <v>3568</v>
      </c>
      <c r="K5852" s="5"/>
    </row>
    <row r="5853">
      <c r="A5853" s="3" t="s">
        <v>5016</v>
      </c>
      <c r="B5853" s="3" t="s">
        <v>5928</v>
      </c>
      <c r="C5853" s="3" t="s">
        <v>5929</v>
      </c>
      <c r="D5853" s="4" t="str">
        <f>HYPERLINK("https://12go.asia/en/travel/panvel/don-mueang-airport", "12Go Link")</f>
        <v>12Go Link</v>
      </c>
      <c r="E5853" s="3" t="s">
        <v>3568</v>
      </c>
      <c r="K5853" s="5"/>
    </row>
    <row r="5854">
      <c r="A5854" s="3" t="s">
        <v>5016</v>
      </c>
      <c r="B5854" s="3" t="s">
        <v>5930</v>
      </c>
      <c r="C5854" s="3" t="s">
        <v>5931</v>
      </c>
      <c r="D5854" s="4" t="str">
        <f>HYPERLINK("https://12go.asia/en/travel/panvel/rangsit", "12Go Link")</f>
        <v>12Go Link</v>
      </c>
      <c r="E5854" s="3" t="s">
        <v>3568</v>
      </c>
      <c r="K5854" s="5"/>
    </row>
    <row r="5855">
      <c r="A5855" s="3" t="s">
        <v>5016</v>
      </c>
      <c r="B5855" s="3" t="s">
        <v>5932</v>
      </c>
      <c r="C5855" s="3" t="s">
        <v>5933</v>
      </c>
      <c r="D5855" s="4" t="str">
        <f>HYPERLINK("https://12go.asia/en/travel/panvel/dubai", "12Go Link")</f>
        <v>12Go Link</v>
      </c>
      <c r="E5855" s="3" t="s">
        <v>3568</v>
      </c>
      <c r="K5855" s="5"/>
    </row>
    <row r="5856">
      <c r="A5856" s="3" t="s">
        <v>5016</v>
      </c>
      <c r="B5856" s="3" t="s">
        <v>5934</v>
      </c>
      <c r="C5856" s="3" t="s">
        <v>5935</v>
      </c>
      <c r="D5856" s="4" t="str">
        <f>HYPERLINK("https://12go.asia/en/travel/panvel/dubai-airport", "12Go Link")</f>
        <v>12Go Link</v>
      </c>
      <c r="E5856" s="3" t="s">
        <v>3568</v>
      </c>
      <c r="K5856" s="5"/>
    </row>
    <row r="5857">
      <c r="A5857" s="3" t="s">
        <v>5936</v>
      </c>
      <c r="B5857" s="3" t="s">
        <v>3715</v>
      </c>
      <c r="C5857" s="3" t="s">
        <v>5937</v>
      </c>
      <c r="D5857" s="4" t="str">
        <f>HYPERLINK("https://12go.asia/en/travel/paramakudi/chennai", "12Go Link")</f>
        <v>12Go Link</v>
      </c>
      <c r="E5857" s="3" t="s">
        <v>8</v>
      </c>
      <c r="K5857" s="5"/>
    </row>
    <row r="5858">
      <c r="A5858" s="3" t="s">
        <v>4974</v>
      </c>
      <c r="B5858" s="3" t="s">
        <v>3638</v>
      </c>
      <c r="C5858" s="3" t="s">
        <v>5938</v>
      </c>
      <c r="D5858" s="4" t="str">
        <f>HYPERLINK("https://12go.asia/en/travel/parli-vaijnath/kacheguda", "12Go Link")</f>
        <v>12Go Link</v>
      </c>
      <c r="E5858" s="3" t="s">
        <v>94</v>
      </c>
      <c r="K5858" s="5"/>
    </row>
    <row r="5859">
      <c r="A5859" s="3" t="s">
        <v>4660</v>
      </c>
      <c r="B5859" s="3" t="s">
        <v>3986</v>
      </c>
      <c r="C5859" s="3" t="s">
        <v>5939</v>
      </c>
      <c r="D5859" s="4" t="str">
        <f>HYPERLINK("https://12go.asia/en/travel/pathankot-cantt/jaipur", "12Go Link")</f>
        <v>12Go Link</v>
      </c>
      <c r="E5859" s="3" t="s">
        <v>94</v>
      </c>
      <c r="K5859" s="5"/>
    </row>
    <row r="5860">
      <c r="A5860" s="3" t="s">
        <v>4660</v>
      </c>
      <c r="B5860" s="3" t="s">
        <v>3739</v>
      </c>
      <c r="C5860" s="3" t="s">
        <v>5940</v>
      </c>
      <c r="D5860" s="4" t="str">
        <f>HYPERLINK("https://12go.asia/en/travel/pathankot/mughalsarai", "12Go Link")</f>
        <v>12Go Link</v>
      </c>
      <c r="E5860" s="3" t="s">
        <v>94</v>
      </c>
      <c r="K5860" s="5"/>
    </row>
    <row r="5861">
      <c r="A5861" s="3" t="s">
        <v>4660</v>
      </c>
      <c r="B5861" s="3" t="s">
        <v>3666</v>
      </c>
      <c r="C5861" s="3" t="s">
        <v>5941</v>
      </c>
      <c r="D5861" s="4" t="str">
        <f>HYPERLINK("https://12go.asia/en/travel/pathankot-cantt/mughal-sarai-junction", "12Go Link")</f>
        <v>12Go Link</v>
      </c>
      <c r="E5861" s="3" t="s">
        <v>94</v>
      </c>
      <c r="K5861" s="5"/>
    </row>
    <row r="5862">
      <c r="A5862" s="3" t="s">
        <v>3917</v>
      </c>
      <c r="B5862" s="3" t="s">
        <v>3793</v>
      </c>
      <c r="C5862" s="3" t="s">
        <v>5942</v>
      </c>
      <c r="D5862" s="4" t="str">
        <f>HYPERLINK("https://12go.asia/en/travel/rajendra-nagar/ara", "12Go Link")</f>
        <v>12Go Link</v>
      </c>
      <c r="E5862" s="3" t="s">
        <v>94</v>
      </c>
      <c r="K5862" s="5"/>
    </row>
    <row r="5863">
      <c r="A5863" s="3" t="s">
        <v>3917</v>
      </c>
      <c r="B5863" s="3" t="s">
        <v>3810</v>
      </c>
      <c r="C5863" s="3" t="s">
        <v>5943</v>
      </c>
      <c r="D5863" s="4" t="str">
        <f>HYPERLINK("https://12go.asia/en/travel/patliputra/barauni-junction", "12Go Link")</f>
        <v>12Go Link</v>
      </c>
      <c r="E5863" s="3" t="s">
        <v>94</v>
      </c>
      <c r="K5863" s="5"/>
    </row>
    <row r="5864">
      <c r="A5864" s="3" t="s">
        <v>3917</v>
      </c>
      <c r="B5864" s="3" t="s">
        <v>5944</v>
      </c>
      <c r="C5864" s="3" t="s">
        <v>5945</v>
      </c>
      <c r="D5864" s="4" t="str">
        <f>HYPERLINK("https://12go.asia/en/travel/patna-jn/bariarpur", "12Go Link")</f>
        <v>12Go Link</v>
      </c>
      <c r="E5864" s="3" t="s">
        <v>94</v>
      </c>
      <c r="K5864" s="5"/>
    </row>
    <row r="5865">
      <c r="A5865" s="3" t="s">
        <v>3917</v>
      </c>
      <c r="B5865" s="3" t="s">
        <v>5944</v>
      </c>
      <c r="C5865" s="3" t="s">
        <v>5946</v>
      </c>
      <c r="D5865" s="4" t="str">
        <f>HYPERLINK("https://12go.asia/en/travel/patna/bariarpur", "12Go Link")</f>
        <v>12Go Link</v>
      </c>
      <c r="E5865" s="3" t="s">
        <v>94</v>
      </c>
      <c r="K5865" s="5"/>
    </row>
    <row r="5866">
      <c r="A5866" s="3" t="s">
        <v>3917</v>
      </c>
      <c r="B5866" s="3" t="s">
        <v>5944</v>
      </c>
      <c r="C5866" s="3" t="s">
        <v>5947</v>
      </c>
      <c r="D5866" s="4" t="str">
        <f>HYPERLINK("https://12go.asia/en/travel/rajendra-nagar/bariarpur", "12Go Link")</f>
        <v>12Go Link</v>
      </c>
      <c r="E5866" s="3" t="s">
        <v>94</v>
      </c>
      <c r="K5866" s="5"/>
    </row>
    <row r="5867">
      <c r="A5867" s="3" t="s">
        <v>3917</v>
      </c>
      <c r="B5867" s="3" t="s">
        <v>4178</v>
      </c>
      <c r="C5867" s="3" t="s">
        <v>5948</v>
      </c>
      <c r="D5867" s="4" t="str">
        <f>HYPERLINK("https://12go.asia/en/travel/patliputra/khagaria-junction", "12Go Link")</f>
        <v>12Go Link</v>
      </c>
      <c r="E5867" s="3" t="s">
        <v>94</v>
      </c>
      <c r="K5867" s="5"/>
    </row>
    <row r="5868">
      <c r="A5868" s="3" t="s">
        <v>3917</v>
      </c>
      <c r="B5868" s="3" t="s">
        <v>4178</v>
      </c>
      <c r="C5868" s="3" t="s">
        <v>5949</v>
      </c>
      <c r="D5868" s="4" t="str">
        <f>HYPERLINK("https://12go.asia/en/travel/patna-jn/khagaria-junction", "12Go Link")</f>
        <v>12Go Link</v>
      </c>
      <c r="E5868" s="3" t="s">
        <v>94</v>
      </c>
      <c r="K5868" s="5"/>
    </row>
    <row r="5869">
      <c r="A5869" s="3" t="s">
        <v>3917</v>
      </c>
      <c r="B5869" s="3" t="s">
        <v>4178</v>
      </c>
      <c r="C5869" s="3" t="s">
        <v>5950</v>
      </c>
      <c r="D5869" s="4" t="str">
        <f>HYPERLINK("https://12go.asia/en/travel/patna/khagaria", "12Go Link")</f>
        <v>12Go Link</v>
      </c>
      <c r="E5869" s="3" t="s">
        <v>94</v>
      </c>
      <c r="K5869" s="5"/>
    </row>
    <row r="5870">
      <c r="A5870" s="3" t="s">
        <v>3917</v>
      </c>
      <c r="B5870" s="3" t="s">
        <v>4178</v>
      </c>
      <c r="C5870" s="3" t="s">
        <v>5951</v>
      </c>
      <c r="D5870" s="4" t="str">
        <f>HYPERLINK("https://12go.asia/en/travel/rajendra-nagar/khagaria-junction", "12Go Link")</f>
        <v>12Go Link</v>
      </c>
      <c r="E5870" s="3" t="s">
        <v>94</v>
      </c>
      <c r="K5870" s="5"/>
    </row>
    <row r="5871">
      <c r="A5871" s="3" t="s">
        <v>3917</v>
      </c>
      <c r="B5871" s="3" t="s">
        <v>4180</v>
      </c>
      <c r="C5871" s="3" t="s">
        <v>5952</v>
      </c>
      <c r="D5871" s="4" t="str">
        <f>HYPERLINK("https://12go.asia/en/travel/patna-jn/kishanganj", "12Go Link")</f>
        <v>12Go Link</v>
      </c>
      <c r="E5871" s="3" t="s">
        <v>94</v>
      </c>
      <c r="K5871" s="5"/>
    </row>
    <row r="5872">
      <c r="A5872" s="3" t="s">
        <v>3917</v>
      </c>
      <c r="B5872" s="3" t="s">
        <v>4180</v>
      </c>
      <c r="C5872" s="3" t="s">
        <v>5953</v>
      </c>
      <c r="D5872" s="4" t="str">
        <f>HYPERLINK("https://12go.asia/en/travel/rajendra-nagar/kishanganj", "12Go Link")</f>
        <v>12Go Link</v>
      </c>
      <c r="E5872" s="3" t="s">
        <v>94</v>
      </c>
      <c r="K5872" s="5"/>
    </row>
    <row r="5873">
      <c r="A5873" s="3" t="s">
        <v>3917</v>
      </c>
      <c r="B5873" s="3" t="s">
        <v>4182</v>
      </c>
      <c r="C5873" s="3" t="s">
        <v>5954</v>
      </c>
      <c r="D5873" s="4" t="str">
        <f>HYPERLINK("https://12go.asia/en/travel/patna-jn/ernakulam-jn", "12Go Link")</f>
        <v>12Go Link</v>
      </c>
      <c r="E5873" s="3" t="s">
        <v>94</v>
      </c>
      <c r="K5873" s="5"/>
    </row>
    <row r="5874">
      <c r="A5874" s="3" t="s">
        <v>3917</v>
      </c>
      <c r="B5874" s="3" t="s">
        <v>4187</v>
      </c>
      <c r="C5874" s="3" t="s">
        <v>5955</v>
      </c>
      <c r="D5874" s="4" t="str">
        <f>HYPERLINK("https://12go.asia/en/travel/patliputra/nagpur", "12Go Link")</f>
        <v>12Go Link</v>
      </c>
      <c r="E5874" s="3" t="s">
        <v>94</v>
      </c>
      <c r="K5874" s="5"/>
    </row>
    <row r="5875">
      <c r="A5875" s="3" t="s">
        <v>3917</v>
      </c>
      <c r="B5875" s="3" t="s">
        <v>5956</v>
      </c>
      <c r="C5875" s="3" t="s">
        <v>5957</v>
      </c>
      <c r="D5875" s="4" t="str">
        <f>HYPERLINK("https://12go.asia/en/travel/patna-jn/new-farakka-junction", "12Go Link")</f>
        <v>12Go Link</v>
      </c>
      <c r="E5875" s="3" t="s">
        <v>94</v>
      </c>
      <c r="K5875" s="5"/>
    </row>
    <row r="5876">
      <c r="A5876" s="3" t="s">
        <v>3917</v>
      </c>
      <c r="B5876" s="3" t="s">
        <v>5956</v>
      </c>
      <c r="C5876" s="3" t="s">
        <v>5958</v>
      </c>
      <c r="D5876" s="4" t="str">
        <f>HYPERLINK("https://12go.asia/en/travel/patna/new-farakka", "12Go Link")</f>
        <v>12Go Link</v>
      </c>
      <c r="E5876" s="3" t="s">
        <v>94</v>
      </c>
      <c r="K5876" s="5"/>
    </row>
    <row r="5877">
      <c r="A5877" s="3" t="s">
        <v>3917</v>
      </c>
      <c r="B5877" s="3" t="s">
        <v>4541</v>
      </c>
      <c r="C5877" s="3" t="s">
        <v>5959</v>
      </c>
      <c r="D5877" s="4" t="str">
        <f>HYPERLINK("https://12go.asia/en/travel/patna-jn/saharsa-junction", "12Go Link")</f>
        <v>12Go Link</v>
      </c>
      <c r="E5877" s="3" t="s">
        <v>94</v>
      </c>
      <c r="K5877" s="5"/>
    </row>
    <row r="5878">
      <c r="A5878" s="3" t="s">
        <v>3917</v>
      </c>
      <c r="B5878" s="3" t="s">
        <v>4541</v>
      </c>
      <c r="C5878" s="3" t="s">
        <v>5960</v>
      </c>
      <c r="D5878" s="4" t="str">
        <f>HYPERLINK("https://12go.asia/en/travel/rajendra-nagar/saharsa-junction", "12Go Link")</f>
        <v>12Go Link</v>
      </c>
      <c r="E5878" s="3" t="s">
        <v>94</v>
      </c>
      <c r="K5878" s="5"/>
    </row>
    <row r="5879">
      <c r="A5879" s="3" t="s">
        <v>3917</v>
      </c>
      <c r="B5879" s="3" t="s">
        <v>4198</v>
      </c>
      <c r="C5879" s="3" t="s">
        <v>5961</v>
      </c>
      <c r="D5879" s="4" t="str">
        <f>HYPERLINK("https://12go.asia/en/travel/patliputra/siwan-junction", "12Go Link")</f>
        <v>12Go Link</v>
      </c>
      <c r="E5879" s="3" t="s">
        <v>94</v>
      </c>
      <c r="K5879" s="5"/>
    </row>
    <row r="5880">
      <c r="A5880" s="3" t="s">
        <v>3917</v>
      </c>
      <c r="B5880" s="3" t="s">
        <v>4198</v>
      </c>
      <c r="C5880" s="3" t="s">
        <v>5962</v>
      </c>
      <c r="D5880" s="4" t="str">
        <f>HYPERLINK("https://12go.asia/en/travel/patna-jn/siwan-junction", "12Go Link")</f>
        <v>12Go Link</v>
      </c>
      <c r="E5880" s="3" t="s">
        <v>94</v>
      </c>
      <c r="K5880" s="5"/>
    </row>
    <row r="5881">
      <c r="A5881" s="3" t="s">
        <v>3917</v>
      </c>
      <c r="B5881" s="3" t="s">
        <v>4198</v>
      </c>
      <c r="C5881" s="3" t="s">
        <v>5963</v>
      </c>
      <c r="D5881" s="4" t="str">
        <f>HYPERLINK("https://12go.asia/en/travel/patna/siwan", "12Go Link")</f>
        <v>12Go Link</v>
      </c>
      <c r="E5881" s="3" t="s">
        <v>94</v>
      </c>
      <c r="K5881" s="5"/>
    </row>
    <row r="5882">
      <c r="A5882" s="3" t="s">
        <v>4976</v>
      </c>
      <c r="B5882" s="3" t="s">
        <v>4954</v>
      </c>
      <c r="C5882" s="3" t="s">
        <v>5964</v>
      </c>
      <c r="D5882" s="4" t="str">
        <f>HYPERLINK("https://12go.asia/en/travel/peddapalli/kagaznagar", "12Go Link")</f>
        <v>12Go Link</v>
      </c>
      <c r="E5882" s="3" t="s">
        <v>94</v>
      </c>
      <c r="K5882" s="5"/>
    </row>
    <row r="5883">
      <c r="A5883" s="3" t="s">
        <v>4976</v>
      </c>
      <c r="B5883" s="3" t="s">
        <v>4954</v>
      </c>
      <c r="C5883" s="3" t="s">
        <v>5965</v>
      </c>
      <c r="D5883" s="4" t="str">
        <f>HYPERLINK("https://12go.asia/en/travel/peddapalli/sirpur-kaghaznagar", "12Go Link")</f>
        <v>12Go Link</v>
      </c>
      <c r="E5883" s="3" t="s">
        <v>94</v>
      </c>
      <c r="K5883" s="5"/>
    </row>
    <row r="5884">
      <c r="A5884" s="3" t="s">
        <v>4978</v>
      </c>
      <c r="B5884" s="3" t="s">
        <v>3638</v>
      </c>
      <c r="C5884" s="3" t="s">
        <v>5966</v>
      </c>
      <c r="D5884" s="4" t="str">
        <f>HYPERLINK("https://12go.asia/en/travel/penukonda/hyderabad", "12Go Link")</f>
        <v>12Go Link</v>
      </c>
      <c r="E5884" s="3" t="s">
        <v>94</v>
      </c>
      <c r="K5884" s="5"/>
    </row>
    <row r="5885">
      <c r="A5885" s="3" t="s">
        <v>4978</v>
      </c>
      <c r="B5885" s="3" t="s">
        <v>3638</v>
      </c>
      <c r="C5885" s="3" t="s">
        <v>5967</v>
      </c>
      <c r="D5885" s="4" t="str">
        <f>HYPERLINK("https://12go.asia/en/travel/penukonda/kacheguda", "12Go Link")</f>
        <v>12Go Link</v>
      </c>
      <c r="E5885" s="3" t="s">
        <v>94</v>
      </c>
      <c r="K5885" s="5"/>
    </row>
    <row r="5886">
      <c r="A5886" s="3" t="s">
        <v>4978</v>
      </c>
      <c r="B5886" s="3" t="s">
        <v>4143</v>
      </c>
      <c r="C5886" s="3" t="s">
        <v>5968</v>
      </c>
      <c r="D5886" s="4" t="str">
        <f>HYPERLINK("https://12go.asia/en/travel/penukonda/telangana", "12Go Link")</f>
        <v>12Go Link</v>
      </c>
      <c r="E5886" s="3" t="s">
        <v>94</v>
      </c>
      <c r="K5886" s="5"/>
    </row>
    <row r="5887">
      <c r="A5887" s="3" t="s">
        <v>5815</v>
      </c>
      <c r="B5887" s="3" t="s">
        <v>3970</v>
      </c>
      <c r="C5887" s="3" t="s">
        <v>5969</v>
      </c>
      <c r="D5887" s="4" t="str">
        <f>HYPERLINK("https://12go.asia/en/travel/pernem-goa/navi-mumbai", "12Go Link")</f>
        <v>12Go Link</v>
      </c>
      <c r="E5887" s="3" t="s">
        <v>94</v>
      </c>
      <c r="K5887" s="5"/>
    </row>
    <row r="5888">
      <c r="A5888" s="3" t="s">
        <v>5970</v>
      </c>
      <c r="B5888" s="3" t="s">
        <v>3994</v>
      </c>
      <c r="C5888" s="3" t="s">
        <v>5971</v>
      </c>
      <c r="D5888" s="4" t="str">
        <f>HYPERLINK("https://12go.asia/en/travel/phagwara-junction/lucknow-nr", "12Go Link")</f>
        <v>12Go Link</v>
      </c>
      <c r="E5888" s="3" t="s">
        <v>94</v>
      </c>
      <c r="K5888" s="5"/>
    </row>
    <row r="5889">
      <c r="A5889" s="3" t="s">
        <v>5970</v>
      </c>
      <c r="B5889" s="3" t="s">
        <v>3994</v>
      </c>
      <c r="C5889" s="3" t="s">
        <v>5972</v>
      </c>
      <c r="D5889" s="4" t="str">
        <f>HYPERLINK("https://12go.asia/en/travel/phagwara/lucknow", "12Go Link")</f>
        <v>12Go Link</v>
      </c>
      <c r="E5889" s="3" t="s">
        <v>94</v>
      </c>
      <c r="K5889" s="5"/>
    </row>
    <row r="5890">
      <c r="A5890" s="3" t="s">
        <v>5970</v>
      </c>
      <c r="B5890" s="3" t="s">
        <v>4218</v>
      </c>
      <c r="C5890" s="3" t="s">
        <v>5973</v>
      </c>
      <c r="D5890" s="4" t="str">
        <f>HYPERLINK("https://12go.asia/en/travel/phagwara/uttar-pradesh", "12Go Link")</f>
        <v>12Go Link</v>
      </c>
      <c r="E5890" s="3" t="s">
        <v>94</v>
      </c>
      <c r="K5890" s="5"/>
    </row>
    <row r="5891">
      <c r="A5891" s="3" t="s">
        <v>5974</v>
      </c>
      <c r="B5891" s="3" t="s">
        <v>3986</v>
      </c>
      <c r="C5891" s="3" t="s">
        <v>5975</v>
      </c>
      <c r="D5891" s="4" t="str">
        <f>HYPERLINK("https://12go.asia/en/travel/phulera/jaipur", "12Go Link")</f>
        <v>12Go Link</v>
      </c>
      <c r="E5891" s="3" t="s">
        <v>94</v>
      </c>
      <c r="K5891" s="5"/>
    </row>
    <row r="5892">
      <c r="A5892" s="3" t="s">
        <v>5974</v>
      </c>
      <c r="B5892" s="3" t="s">
        <v>4951</v>
      </c>
      <c r="C5892" s="3" t="s">
        <v>5976</v>
      </c>
      <c r="D5892" s="4" t="str">
        <f>HYPERLINK("https://12go.asia/en/travel/phulera/jodhpur", "12Go Link")</f>
        <v>12Go Link</v>
      </c>
      <c r="E5892" s="3" t="s">
        <v>94</v>
      </c>
      <c r="K5892" s="5"/>
    </row>
    <row r="5893">
      <c r="A5893" s="3" t="s">
        <v>5974</v>
      </c>
      <c r="B5893" s="3" t="s">
        <v>5117</v>
      </c>
      <c r="C5893" s="3" t="s">
        <v>5977</v>
      </c>
      <c r="D5893" s="4" t="str">
        <f>HYPERLINK("https://12go.asia/en/travel/phulera/kuchaman-city", "12Go Link")</f>
        <v>12Go Link</v>
      </c>
      <c r="E5893" s="3" t="s">
        <v>94</v>
      </c>
      <c r="K5893" s="5"/>
    </row>
    <row r="5894">
      <c r="A5894" s="3" t="s">
        <v>5974</v>
      </c>
      <c r="B5894" s="3" t="s">
        <v>3771</v>
      </c>
      <c r="C5894" s="3" t="s">
        <v>5978</v>
      </c>
      <c r="D5894" s="4" t="str">
        <f>HYPERLINK("https://12go.asia/en/travel/phulera/taj-mahal", "12Go Link")</f>
        <v>12Go Link</v>
      </c>
      <c r="E5894" s="3" t="s">
        <v>94</v>
      </c>
      <c r="K5894" s="5"/>
    </row>
    <row r="5895">
      <c r="A5895" s="3" t="s">
        <v>5979</v>
      </c>
      <c r="B5895" s="3" t="s">
        <v>3994</v>
      </c>
      <c r="C5895" s="3" t="s">
        <v>5980</v>
      </c>
      <c r="D5895" s="4" t="str">
        <f>HYPERLINK("https://12go.asia/en/travel/pilibhit-junction/lucknow-nr", "12Go Link")</f>
        <v>12Go Link</v>
      </c>
      <c r="E5895" s="3" t="s">
        <v>94</v>
      </c>
      <c r="K5895" s="5"/>
    </row>
    <row r="5896">
      <c r="A5896" s="3" t="s">
        <v>5979</v>
      </c>
      <c r="B5896" s="3" t="s">
        <v>3994</v>
      </c>
      <c r="C5896" s="3" t="s">
        <v>5981</v>
      </c>
      <c r="D5896" s="4" t="str">
        <f>HYPERLINK("https://12go.asia/en/travel/pilibhit/lucknow", "12Go Link")</f>
        <v>12Go Link</v>
      </c>
      <c r="E5896" s="3" t="s">
        <v>94</v>
      </c>
      <c r="K5896" s="5"/>
    </row>
    <row r="5897">
      <c r="A5897" s="3" t="s">
        <v>5817</v>
      </c>
      <c r="B5897" s="3" t="s">
        <v>3690</v>
      </c>
      <c r="C5897" s="3" t="s">
        <v>5982</v>
      </c>
      <c r="D5897" s="4" t="str">
        <f>HYPERLINK("https://12go.asia/en/travel/chinchvad/mumbai-cst", "12Go Link")</f>
        <v>12Go Link</v>
      </c>
      <c r="E5897" s="3" t="s">
        <v>94</v>
      </c>
      <c r="K5897" s="5"/>
    </row>
    <row r="5898">
      <c r="A5898" s="3" t="s">
        <v>5817</v>
      </c>
      <c r="B5898" s="3" t="s">
        <v>3690</v>
      </c>
      <c r="C5898" s="3" t="s">
        <v>5983</v>
      </c>
      <c r="D5898" s="4" t="str">
        <f>HYPERLINK("https://12go.asia/en/travel/pimpri/mumbai-cst", "12Go Link")</f>
        <v>12Go Link</v>
      </c>
      <c r="E5898" s="3" t="s">
        <v>94</v>
      </c>
      <c r="K5898" s="5"/>
    </row>
    <row r="5899">
      <c r="A5899" s="3" t="s">
        <v>5817</v>
      </c>
      <c r="B5899" s="3" t="s">
        <v>3914</v>
      </c>
      <c r="C5899" s="3" t="s">
        <v>5984</v>
      </c>
      <c r="D5899" s="4" t="str">
        <f>HYPERLINK("https://12go.asia/en/travel/chinchvad/nanded", "12Go Link")</f>
        <v>12Go Link</v>
      </c>
      <c r="E5899" s="3" t="s">
        <v>94</v>
      </c>
      <c r="K5899" s="5"/>
    </row>
    <row r="5900">
      <c r="A5900" s="3" t="s">
        <v>5817</v>
      </c>
      <c r="B5900" s="3" t="s">
        <v>3914</v>
      </c>
      <c r="C5900" s="3" t="s">
        <v>5985</v>
      </c>
      <c r="D5900" s="4" t="str">
        <f>HYPERLINK("https://12go.asia/en/travel/pimpri-chinchwad/nanded", "12Go Link")</f>
        <v>12Go Link</v>
      </c>
      <c r="E5900" s="3" t="s">
        <v>94</v>
      </c>
      <c r="K5900" s="5"/>
    </row>
    <row r="5901">
      <c r="A5901" s="3" t="s">
        <v>5817</v>
      </c>
      <c r="B5901" s="3" t="s">
        <v>3970</v>
      </c>
      <c r="C5901" s="3" t="s">
        <v>5986</v>
      </c>
      <c r="D5901" s="4" t="str">
        <f>HYPERLINK("https://12go.asia/en/travel/pimpri-chinchwad/navi-mumbai", "12Go Link")</f>
        <v>12Go Link</v>
      </c>
      <c r="E5901" s="3" t="s">
        <v>94</v>
      </c>
      <c r="K5901" s="5"/>
    </row>
    <row r="5902">
      <c r="A5902" s="3" t="s">
        <v>4410</v>
      </c>
      <c r="B5902" s="3" t="s">
        <v>4225</v>
      </c>
      <c r="C5902" s="3" t="s">
        <v>5987</v>
      </c>
      <c r="D5902" s="4" t="str">
        <f>HYPERLINK("https://12go.asia/en/travel/pipariya/indore-jn-bg", "12Go Link")</f>
        <v>12Go Link</v>
      </c>
      <c r="E5902" s="3" t="s">
        <v>94</v>
      </c>
      <c r="K5902" s="5"/>
    </row>
    <row r="5903">
      <c r="A5903" s="3" t="s">
        <v>4410</v>
      </c>
      <c r="B5903" s="3" t="s">
        <v>3898</v>
      </c>
      <c r="C5903" s="3" t="s">
        <v>5988</v>
      </c>
      <c r="D5903" s="4" t="str">
        <f>HYPERLINK("https://12go.asia/en/travel/pipariya/jabalpur", "12Go Link")</f>
        <v>12Go Link</v>
      </c>
      <c r="E5903" s="3" t="s">
        <v>94</v>
      </c>
      <c r="K5903" s="5"/>
    </row>
    <row r="5904">
      <c r="A5904" s="3" t="s">
        <v>3752</v>
      </c>
      <c r="B5904" s="3" t="s">
        <v>5989</v>
      </c>
      <c r="C5904" s="3" t="s">
        <v>5990</v>
      </c>
      <c r="D5904" s="4" t="str">
        <f>HYPERLINK("https://12go.asia/en/travel/allahabad/deoria", "12Go Link")</f>
        <v>12Go Link</v>
      </c>
      <c r="E5904" s="3" t="s">
        <v>94</v>
      </c>
      <c r="K5904" s="5"/>
    </row>
    <row r="5905">
      <c r="A5905" s="3" t="s">
        <v>3752</v>
      </c>
      <c r="B5905" s="3" t="s">
        <v>5989</v>
      </c>
      <c r="C5905" s="3" t="s">
        <v>5991</v>
      </c>
      <c r="D5905" s="4" t="str">
        <f>HYPERLINK("https://12go.asia/en/travel/prayagraj-junction/deoria-sadar", "12Go Link")</f>
        <v>12Go Link</v>
      </c>
      <c r="E5905" s="3" t="s">
        <v>94</v>
      </c>
      <c r="K5905" s="5"/>
    </row>
    <row r="5906">
      <c r="A5906" s="3" t="s">
        <v>3752</v>
      </c>
      <c r="B5906" s="3" t="s">
        <v>4429</v>
      </c>
      <c r="C5906" s="3" t="s">
        <v>5992</v>
      </c>
      <c r="D5906" s="4" t="str">
        <f>HYPERLINK("https://12go.asia/en/travel/prayagraj/khajuraho", "12Go Link")</f>
        <v>12Go Link</v>
      </c>
      <c r="E5906" s="3" t="s">
        <v>94</v>
      </c>
      <c r="K5906" s="5"/>
    </row>
    <row r="5907">
      <c r="A5907" s="3" t="s">
        <v>3752</v>
      </c>
      <c r="B5907" s="3" t="s">
        <v>3690</v>
      </c>
      <c r="C5907" s="3" t="s">
        <v>5993</v>
      </c>
      <c r="D5907" s="4" t="str">
        <f>HYPERLINK("https://12go.asia/en/travel/prayagraj/mumbai", "12Go Link")</f>
        <v>12Go Link</v>
      </c>
      <c r="E5907" s="3" t="s">
        <v>94</v>
      </c>
      <c r="K5907" s="5"/>
    </row>
    <row r="5908">
      <c r="A5908" s="3" t="s">
        <v>3752</v>
      </c>
      <c r="B5908" s="3" t="s">
        <v>3752</v>
      </c>
      <c r="C5908" s="3" t="s">
        <v>5994</v>
      </c>
      <c r="D5908" s="4" t="str">
        <f>HYPERLINK("https://12go.asia/en/travel/prayagraj-junction/allahabad-city", "12Go Link")</f>
        <v>12Go Link</v>
      </c>
      <c r="E5908" s="3" t="s">
        <v>94</v>
      </c>
      <c r="K5908" s="5"/>
    </row>
    <row r="5909">
      <c r="A5909" s="3" t="s">
        <v>3752</v>
      </c>
      <c r="B5909" s="3" t="s">
        <v>5995</v>
      </c>
      <c r="C5909" s="3" t="s">
        <v>5996</v>
      </c>
      <c r="D5909" s="4" t="str">
        <f>HYPERLINK("https://12go.asia/en/travel/prayagraj-junction/sasaram", "12Go Link")</f>
        <v>12Go Link</v>
      </c>
      <c r="E5909" s="3" t="s">
        <v>94</v>
      </c>
      <c r="K5909" s="5"/>
    </row>
    <row r="5910">
      <c r="A5910" s="3" t="s">
        <v>3752</v>
      </c>
      <c r="B5910" s="3" t="s">
        <v>5995</v>
      </c>
      <c r="C5910" s="3" t="s">
        <v>5997</v>
      </c>
      <c r="D5910" s="4" t="str">
        <f>HYPERLINK("https://12go.asia/en/travel/prayagraj/sasaram", "12Go Link")</f>
        <v>12Go Link</v>
      </c>
      <c r="E5910" s="3" t="s">
        <v>94</v>
      </c>
      <c r="K5910" s="5"/>
    </row>
    <row r="5911">
      <c r="A5911" s="3" t="s">
        <v>3752</v>
      </c>
      <c r="B5911" s="3" t="s">
        <v>4106</v>
      </c>
      <c r="C5911" s="3" t="s">
        <v>5998</v>
      </c>
      <c r="D5911" s="4" t="str">
        <f>HYPERLINK("https://12go.asia/en/travel/prayagraj/tundla", "12Go Link")</f>
        <v>12Go Link</v>
      </c>
      <c r="E5911" s="3" t="s">
        <v>94</v>
      </c>
      <c r="K5911" s="5"/>
    </row>
    <row r="5912">
      <c r="A5912" s="3" t="s">
        <v>3754</v>
      </c>
      <c r="B5912" s="3" t="s">
        <v>4187</v>
      </c>
      <c r="C5912" s="3" t="s">
        <v>5999</v>
      </c>
      <c r="D5912" s="4" t="str">
        <f>HYPERLINK("https://12go.asia/en/travel/pondicherry/nagpur", "12Go Link")</f>
        <v>12Go Link</v>
      </c>
      <c r="E5912" s="3" t="s">
        <v>94</v>
      </c>
      <c r="K5912" s="5"/>
    </row>
    <row r="5913">
      <c r="A5913" s="3" t="s">
        <v>3754</v>
      </c>
      <c r="B5913" s="3" t="s">
        <v>4187</v>
      </c>
      <c r="C5913" s="3" t="s">
        <v>6000</v>
      </c>
      <c r="D5913" s="4" t="str">
        <f>HYPERLINK("https://12go.asia/en/travel/puducherry/nagpur", "12Go Link")</f>
        <v>12Go Link</v>
      </c>
      <c r="E5913" s="3" t="s">
        <v>94</v>
      </c>
      <c r="K5913" s="5"/>
    </row>
    <row r="5914">
      <c r="A5914" s="3" t="s">
        <v>6001</v>
      </c>
      <c r="B5914" s="3" t="s">
        <v>3715</v>
      </c>
      <c r="C5914" s="3" t="s">
        <v>6002</v>
      </c>
      <c r="D5914" s="4" t="str">
        <f>HYPERLINK("https://12go.asia/en/travel/pudukkottai/chennai-egmore", "12Go Link")</f>
        <v>12Go Link</v>
      </c>
      <c r="E5914" s="3" t="s">
        <v>94</v>
      </c>
      <c r="K5914" s="5"/>
    </row>
    <row r="5915">
      <c r="A5915" s="3" t="s">
        <v>6003</v>
      </c>
      <c r="B5915" s="3" t="s">
        <v>3842</v>
      </c>
      <c r="C5915" s="3" t="s">
        <v>6004</v>
      </c>
      <c r="D5915" s="4" t="str">
        <f>HYPERLINK("https://12go.asia/en/travel/pulgaon/new-delhi", "12Go Link")</f>
        <v>12Go Link</v>
      </c>
      <c r="E5915" s="3" t="s">
        <v>94</v>
      </c>
      <c r="K5915" s="5"/>
    </row>
    <row r="5916">
      <c r="A5916" s="3" t="s">
        <v>3919</v>
      </c>
      <c r="B5916" s="3" t="s">
        <v>3939</v>
      </c>
      <c r="C5916" s="3" t="s">
        <v>6005</v>
      </c>
      <c r="D5916" s="4" t="str">
        <f>HYPERLINK("https://12go.asia/en/travel/pune-jn/chandigarh", "12Go Link")</f>
        <v>12Go Link</v>
      </c>
      <c r="E5916" s="3" t="s">
        <v>94</v>
      </c>
      <c r="K5916" s="5"/>
    </row>
    <row r="5917">
      <c r="A5917" s="3" t="s">
        <v>3919</v>
      </c>
      <c r="B5917" s="3" t="s">
        <v>4402</v>
      </c>
      <c r="C5917" s="3" t="s">
        <v>6006</v>
      </c>
      <c r="D5917" s="4" t="str">
        <f>HYPERLINK("https://12go.asia/en/travel/pune/jamshedpur", "12Go Link")</f>
        <v>12Go Link</v>
      </c>
      <c r="E5917" s="3" t="s">
        <v>94</v>
      </c>
      <c r="K5917" s="5"/>
    </row>
    <row r="5918">
      <c r="A5918" s="3" t="s">
        <v>3919</v>
      </c>
      <c r="B5918" s="3" t="s">
        <v>163</v>
      </c>
      <c r="C5918" s="3" t="s">
        <v>6007</v>
      </c>
      <c r="D5918" s="4" t="str">
        <f>HYPERLINK("https://12go.asia/en/travel/pune-jn/jayasingpur", "12Go Link")</f>
        <v>12Go Link</v>
      </c>
      <c r="E5918" s="3" t="s">
        <v>94</v>
      </c>
      <c r="K5918" s="5"/>
    </row>
    <row r="5919">
      <c r="A5919" s="3" t="s">
        <v>3919</v>
      </c>
      <c r="B5919" s="3" t="s">
        <v>3644</v>
      </c>
      <c r="C5919" s="3" t="s">
        <v>6008</v>
      </c>
      <c r="D5919" s="4" t="str">
        <f>HYPERLINK("https://12go.asia/en/travel/pune-jn/mangalore-jn", "12Go Link")</f>
        <v>12Go Link</v>
      </c>
      <c r="E5919" s="3" t="s">
        <v>94</v>
      </c>
      <c r="K5919" s="5"/>
    </row>
    <row r="5920">
      <c r="A5920" s="3" t="s">
        <v>3919</v>
      </c>
      <c r="B5920" s="3" t="s">
        <v>3754</v>
      </c>
      <c r="C5920" s="3" t="s">
        <v>6009</v>
      </c>
      <c r="D5920" s="4" t="str">
        <f>HYPERLINK("https://12go.asia/en/travel/pune-jn/pondicherry", "12Go Link")</f>
        <v>12Go Link</v>
      </c>
      <c r="E5920" s="3" t="s">
        <v>94</v>
      </c>
      <c r="K5920" s="5"/>
    </row>
    <row r="5921">
      <c r="A5921" s="3" t="s">
        <v>3919</v>
      </c>
      <c r="B5921" s="3" t="s">
        <v>175</v>
      </c>
      <c r="C5921" s="3" t="s">
        <v>6010</v>
      </c>
      <c r="D5921" s="4" t="str">
        <f>HYPERLINK("https://12go.asia/en/travel/pune-jn/sangli", "12Go Link")</f>
        <v>12Go Link</v>
      </c>
      <c r="E5921" s="3" t="s">
        <v>94</v>
      </c>
      <c r="K5921" s="5"/>
    </row>
    <row r="5922">
      <c r="A5922" s="3" t="s">
        <v>3919</v>
      </c>
      <c r="B5922" s="3" t="s">
        <v>5827</v>
      </c>
      <c r="C5922" s="3" t="s">
        <v>6011</v>
      </c>
      <c r="D5922" s="4" t="str">
        <f>HYPERLINK("https://12go.asia/en/travel/pune-jn/surendranagar", "12Go Link")</f>
        <v>12Go Link</v>
      </c>
      <c r="E5922" s="3" t="s">
        <v>94</v>
      </c>
      <c r="K5922" s="5"/>
    </row>
    <row r="5923">
      <c r="A5923" s="3" t="s">
        <v>3919</v>
      </c>
      <c r="B5923" s="3" t="s">
        <v>5827</v>
      </c>
      <c r="C5923" s="3" t="s">
        <v>6012</v>
      </c>
      <c r="D5923" s="4" t="str">
        <f>HYPERLINK("https://12go.asia/en/travel/pune/surendranagar", "12Go Link")</f>
        <v>12Go Link</v>
      </c>
      <c r="E5923" s="3" t="s">
        <v>94</v>
      </c>
      <c r="K5923" s="5"/>
    </row>
    <row r="5924">
      <c r="A5924" s="3" t="s">
        <v>3919</v>
      </c>
      <c r="B5924" s="3" t="s">
        <v>3924</v>
      </c>
      <c r="C5924" s="3" t="s">
        <v>6013</v>
      </c>
      <c r="D5924" s="4" t="str">
        <f>HYPERLINK("https://12go.asia/en/travel/pune-jn/tatanagar", "12Go Link")</f>
        <v>12Go Link</v>
      </c>
      <c r="E5924" s="3" t="s">
        <v>94</v>
      </c>
      <c r="K5924" s="5"/>
    </row>
    <row r="5925">
      <c r="A5925" s="3" t="s">
        <v>3919</v>
      </c>
      <c r="B5925" s="3" t="s">
        <v>3924</v>
      </c>
      <c r="C5925" s="3" t="s">
        <v>6014</v>
      </c>
      <c r="D5925" s="4" t="str">
        <f>HYPERLINK("https://12go.asia/en/travel/pune/tatanagar", "12Go Link")</f>
        <v>12Go Link</v>
      </c>
      <c r="E5925" s="3" t="s">
        <v>94</v>
      </c>
      <c r="K5925" s="5"/>
    </row>
    <row r="5926">
      <c r="A5926" s="3" t="s">
        <v>3919</v>
      </c>
      <c r="B5926" s="3" t="s">
        <v>4635</v>
      </c>
      <c r="C5926" s="3" t="s">
        <v>6015</v>
      </c>
      <c r="D5926" s="4" t="str">
        <f>HYPERLINK("https://12go.asia/en/travel/pune-jn/tirunelveli", "12Go Link")</f>
        <v>12Go Link</v>
      </c>
      <c r="E5926" s="3" t="s">
        <v>94</v>
      </c>
      <c r="K5926" s="5"/>
    </row>
    <row r="5927">
      <c r="A5927" s="3" t="s">
        <v>3919</v>
      </c>
      <c r="B5927" s="3" t="s">
        <v>4635</v>
      </c>
      <c r="C5927" s="3" t="s">
        <v>6016</v>
      </c>
      <c r="D5927" s="4" t="str">
        <f>HYPERLINK("https://12go.asia/en/travel/pune/tirunelveli", "12Go Link")</f>
        <v>12Go Link</v>
      </c>
      <c r="E5927" s="3" t="s">
        <v>94</v>
      </c>
      <c r="K5927" s="5"/>
    </row>
    <row r="5928">
      <c r="A5928" s="3" t="s">
        <v>3919</v>
      </c>
      <c r="B5928" s="3" t="s">
        <v>5838</v>
      </c>
      <c r="C5928" s="3" t="s">
        <v>6017</v>
      </c>
      <c r="D5928" s="4" t="str">
        <f>HYPERLINK("https://12go.asia/en/travel/pune-jn/valsad", "12Go Link")</f>
        <v>12Go Link</v>
      </c>
      <c r="E5928" s="3" t="s">
        <v>94</v>
      </c>
      <c r="K5928" s="5"/>
    </row>
    <row r="5929">
      <c r="A5929" s="3" t="s">
        <v>3919</v>
      </c>
      <c r="B5929" s="3" t="s">
        <v>5838</v>
      </c>
      <c r="C5929" s="3" t="s">
        <v>6018</v>
      </c>
      <c r="D5929" s="4" t="str">
        <f>HYPERLINK("https://12go.asia/en/travel/pune/valsad", "12Go Link")</f>
        <v>12Go Link</v>
      </c>
      <c r="E5929" s="3" t="s">
        <v>94</v>
      </c>
      <c r="K5929" s="5"/>
    </row>
    <row r="5930">
      <c r="A5930" s="3" t="s">
        <v>4075</v>
      </c>
      <c r="B5930" s="3" t="s">
        <v>3670</v>
      </c>
      <c r="C5930" s="3" t="s">
        <v>6019</v>
      </c>
      <c r="D5930" s="4" t="str">
        <f>HYPERLINK("https://12go.asia/en/travel/dhuri-junction/amritsar-jn", "12Go Link")</f>
        <v>12Go Link</v>
      </c>
      <c r="E5930" s="3" t="s">
        <v>94</v>
      </c>
      <c r="K5930" s="5"/>
    </row>
    <row r="5931">
      <c r="A5931" s="3" t="s">
        <v>4075</v>
      </c>
      <c r="B5931" s="3" t="s">
        <v>6020</v>
      </c>
      <c r="C5931" s="3" t="s">
        <v>6021</v>
      </c>
      <c r="D5931" s="4" t="str">
        <f>HYPERLINK("https://12go.asia/en/travel/bassi-pathanam/anandpur-sahib", "12Go Link")</f>
        <v>12Go Link</v>
      </c>
      <c r="E5931" s="3" t="s">
        <v>94</v>
      </c>
      <c r="K5931" s="5"/>
    </row>
    <row r="5932">
      <c r="A5932" s="3" t="s">
        <v>4075</v>
      </c>
      <c r="B5932" s="3" t="s">
        <v>6020</v>
      </c>
      <c r="C5932" s="3" t="s">
        <v>6022</v>
      </c>
      <c r="D5932" s="4" t="str">
        <f>HYPERLINK("https://12go.asia/en/travel/punjab/anandpur-sahib", "12Go Link")</f>
        <v>12Go Link</v>
      </c>
      <c r="E5932" s="3" t="s">
        <v>94</v>
      </c>
      <c r="K5932" s="5"/>
    </row>
    <row r="5933">
      <c r="A5933" s="3" t="s">
        <v>4075</v>
      </c>
      <c r="B5933" s="3" t="s">
        <v>4213</v>
      </c>
      <c r="C5933" s="3" t="s">
        <v>6023</v>
      </c>
      <c r="D5933" s="4" t="str">
        <f>HYPERLINK("https://12go.asia/en/travel/dhuri-junction/bikaner-jn", "12Go Link")</f>
        <v>12Go Link</v>
      </c>
      <c r="E5933" s="3" t="s">
        <v>94</v>
      </c>
      <c r="K5933" s="5"/>
    </row>
    <row r="5934">
      <c r="A5934" s="3" t="s">
        <v>4075</v>
      </c>
      <c r="B5934" s="3" t="s">
        <v>4154</v>
      </c>
      <c r="C5934" s="3" t="s">
        <v>6024</v>
      </c>
      <c r="D5934" s="4" t="str">
        <f>HYPERLINK("https://12go.asia/en/travel/punjab/bilaspur", "12Go Link")</f>
        <v>12Go Link</v>
      </c>
      <c r="E5934" s="3" t="s">
        <v>94</v>
      </c>
      <c r="K5934" s="5"/>
    </row>
    <row r="5935">
      <c r="A5935" s="3" t="s">
        <v>4075</v>
      </c>
      <c r="B5935" s="3" t="s">
        <v>167</v>
      </c>
      <c r="C5935" s="3" t="s">
        <v>6025</v>
      </c>
      <c r="D5935" s="4" t="str">
        <f>HYPERLINK("https://12go.asia/en/travel/firozpur-cant/mathura-jn", "12Go Link")</f>
        <v>12Go Link</v>
      </c>
      <c r="E5935" s="3" t="s">
        <v>94</v>
      </c>
      <c r="K5935" s="5"/>
    </row>
    <row r="5936">
      <c r="A5936" s="3" t="s">
        <v>4075</v>
      </c>
      <c r="B5936" s="3" t="s">
        <v>167</v>
      </c>
      <c r="C5936" s="3" t="s">
        <v>6026</v>
      </c>
      <c r="D5936" s="4" t="str">
        <f>HYPERLINK("https://12go.asia/en/travel/punjab/mathura", "12Go Link")</f>
        <v>12Go Link</v>
      </c>
      <c r="E5936" s="3" t="s">
        <v>94</v>
      </c>
      <c r="K5936" s="5"/>
    </row>
    <row r="5937">
      <c r="A5937" s="3" t="s">
        <v>6027</v>
      </c>
      <c r="B5937" s="3" t="s">
        <v>3704</v>
      </c>
      <c r="C5937" s="3" t="s">
        <v>6028</v>
      </c>
      <c r="D5937" s="4" t="str">
        <f>HYPERLINK("https://12go.asia/en/travel/purulia-junction/shalimar", "12Go Link")</f>
        <v>12Go Link</v>
      </c>
      <c r="E5937" s="3" t="s">
        <v>94</v>
      </c>
      <c r="K5937" s="5"/>
    </row>
    <row r="5938">
      <c r="A5938" s="3" t="s">
        <v>6027</v>
      </c>
      <c r="B5938" s="3" t="s">
        <v>3704</v>
      </c>
      <c r="C5938" s="3" t="s">
        <v>6029</v>
      </c>
      <c r="D5938" s="4" t="str">
        <f>HYPERLINK("https://12go.asia/en/travel/purulia/kolkata", "12Go Link")</f>
        <v>12Go Link</v>
      </c>
      <c r="E5938" s="3" t="s">
        <v>94</v>
      </c>
      <c r="K5938" s="5"/>
    </row>
    <row r="5939">
      <c r="A5939" s="3" t="s">
        <v>6030</v>
      </c>
      <c r="B5939" s="3" t="s">
        <v>3994</v>
      </c>
      <c r="C5939" s="3" t="s">
        <v>6031</v>
      </c>
      <c r="D5939" s="4" t="str">
        <f>HYPERLINK("https://12go.asia/en/travel/rae-bareli-junction/lucknow-nr", "12Go Link")</f>
        <v>12Go Link</v>
      </c>
      <c r="E5939" s="3" t="s">
        <v>94</v>
      </c>
      <c r="K5939" s="5"/>
    </row>
    <row r="5940">
      <c r="A5940" s="3" t="s">
        <v>6030</v>
      </c>
      <c r="B5940" s="3" t="s">
        <v>3994</v>
      </c>
      <c r="C5940" s="3" t="s">
        <v>6032</v>
      </c>
      <c r="D5940" s="4" t="str">
        <f>HYPERLINK("https://12go.asia/en/travel/rae-bareli/lucknow", "12Go Link")</f>
        <v>12Go Link</v>
      </c>
      <c r="E5940" s="3" t="s">
        <v>94</v>
      </c>
      <c r="K5940" s="5"/>
    </row>
    <row r="5941">
      <c r="A5941" s="3" t="s">
        <v>5433</v>
      </c>
      <c r="B5941" s="3" t="s">
        <v>3647</v>
      </c>
      <c r="C5941" s="3" t="s">
        <v>6033</v>
      </c>
      <c r="D5941" s="4" t="str">
        <f>HYPERLINK("https://12go.asia/en/travel/raichur/delhi", "12Go Link")</f>
        <v>12Go Link</v>
      </c>
      <c r="E5941" s="3" t="s">
        <v>94</v>
      </c>
      <c r="K5941" s="5"/>
    </row>
    <row r="5942">
      <c r="A5942" s="3" t="s">
        <v>5433</v>
      </c>
      <c r="B5942" s="3" t="s">
        <v>3647</v>
      </c>
      <c r="C5942" s="3" t="s">
        <v>6034</v>
      </c>
      <c r="D5942" s="4" t="str">
        <f>HYPERLINK("https://12go.asia/en/travel/raichur/delhi-safdarjung", "12Go Link")</f>
        <v>12Go Link</v>
      </c>
      <c r="E5942" s="3" t="s">
        <v>94</v>
      </c>
      <c r="K5942" s="5"/>
    </row>
    <row r="5943">
      <c r="A5943" s="3" t="s">
        <v>5433</v>
      </c>
      <c r="B5943" s="3" t="s">
        <v>3647</v>
      </c>
      <c r="C5943" s="3" t="s">
        <v>6035</v>
      </c>
      <c r="D5943" s="4" t="str">
        <f>HYPERLINK("https://12go.asia/en/travel/raichur/hazrat-nizamuddin", "12Go Link")</f>
        <v>12Go Link</v>
      </c>
      <c r="E5943" s="3" t="s">
        <v>94</v>
      </c>
      <c r="K5943" s="5"/>
    </row>
    <row r="5944">
      <c r="A5944" s="3" t="s">
        <v>4752</v>
      </c>
      <c r="B5944" s="3" t="s">
        <v>6036</v>
      </c>
      <c r="C5944" s="3" t="s">
        <v>6037</v>
      </c>
      <c r="D5944" s="4" t="str">
        <f>HYPERLINK("https://12go.asia/en/travel/raipur/bagbahara", "12Go Link")</f>
        <v>12Go Link</v>
      </c>
      <c r="E5944" s="3" t="s">
        <v>94</v>
      </c>
      <c r="K5944" s="5"/>
    </row>
    <row r="5945">
      <c r="A5945" s="3" t="s">
        <v>3633</v>
      </c>
      <c r="B5945" s="3" t="s">
        <v>3598</v>
      </c>
      <c r="C5945" s="3" t="s">
        <v>6038</v>
      </c>
      <c r="D5945" s="4" t="str">
        <f>HYPERLINK("https://12go.asia/en/travel/phulera-junction/agra-cantt", "12Go Link")</f>
        <v>12Go Link</v>
      </c>
      <c r="E5945" s="3" t="s">
        <v>94</v>
      </c>
      <c r="K5945" s="5"/>
    </row>
    <row r="5946">
      <c r="A5946" s="3" t="s">
        <v>3633</v>
      </c>
      <c r="B5946" s="3" t="s">
        <v>149</v>
      </c>
      <c r="C5946" s="3" t="s">
        <v>6039</v>
      </c>
      <c r="D5946" s="4" t="str">
        <f>HYPERLINK("https://12go.asia/en/travel/sadulpur-junction/ahmedabad-jn", "12Go Link")</f>
        <v>12Go Link</v>
      </c>
      <c r="E5946" s="3" t="s">
        <v>94</v>
      </c>
      <c r="K5946" s="5"/>
    </row>
    <row r="5947">
      <c r="A5947" s="3" t="s">
        <v>3633</v>
      </c>
      <c r="B5947" s="3" t="s">
        <v>3647</v>
      </c>
      <c r="C5947" s="3" t="s">
        <v>6040</v>
      </c>
      <c r="D5947" s="4" t="str">
        <f>HYPERLINK("https://12go.asia/en/travel/didwana/delhi-sarai-rohilla", "12Go Link")</f>
        <v>12Go Link</v>
      </c>
      <c r="E5947" s="3" t="s">
        <v>94</v>
      </c>
      <c r="K5947" s="5"/>
    </row>
    <row r="5948">
      <c r="A5948" s="3" t="s">
        <v>3633</v>
      </c>
      <c r="B5948" s="3" t="s">
        <v>3647</v>
      </c>
      <c r="C5948" s="3" t="s">
        <v>6041</v>
      </c>
      <c r="D5948" s="4" t="str">
        <f>HYPERLINK("https://12go.asia/en/travel/sadulpur-junction/delhi", "12Go Link")</f>
        <v>12Go Link</v>
      </c>
      <c r="E5948" s="3" t="s">
        <v>94</v>
      </c>
      <c r="K5948" s="5"/>
    </row>
    <row r="5949">
      <c r="A5949" s="3" t="s">
        <v>3633</v>
      </c>
      <c r="B5949" s="3" t="s">
        <v>4384</v>
      </c>
      <c r="C5949" s="3" t="s">
        <v>6042</v>
      </c>
      <c r="D5949" s="4" t="str">
        <f>HYPERLINK("https://12go.asia/en/travel/suratgarh-junction/gorakhpur", "12Go Link")</f>
        <v>12Go Link</v>
      </c>
      <c r="E5949" s="3" t="s">
        <v>94</v>
      </c>
      <c r="K5949" s="5"/>
    </row>
    <row r="5950">
      <c r="A5950" s="3" t="s">
        <v>3633</v>
      </c>
      <c r="B5950" s="3" t="s">
        <v>3986</v>
      </c>
      <c r="C5950" s="3" t="s">
        <v>6043</v>
      </c>
      <c r="D5950" s="4" t="str">
        <f>HYPERLINK("https://12go.asia/en/travel/phulera-junction/jaipur", "12Go Link")</f>
        <v>12Go Link</v>
      </c>
      <c r="E5950" s="3" t="s">
        <v>94</v>
      </c>
      <c r="K5950" s="5"/>
    </row>
    <row r="5951">
      <c r="A5951" s="3" t="s">
        <v>3633</v>
      </c>
      <c r="B5951" s="3" t="s">
        <v>4951</v>
      </c>
      <c r="C5951" s="3" t="s">
        <v>6044</v>
      </c>
      <c r="D5951" s="4" t="str">
        <f>HYPERLINK("https://12go.asia/en/travel/phulera-junction/jodhpur-jn", "12Go Link")</f>
        <v>12Go Link</v>
      </c>
      <c r="E5951" s="3" t="s">
        <v>94</v>
      </c>
      <c r="K5951" s="5"/>
    </row>
    <row r="5952">
      <c r="A5952" s="3" t="s">
        <v>6045</v>
      </c>
      <c r="B5952" s="3" t="s">
        <v>3647</v>
      </c>
      <c r="C5952" s="3" t="s">
        <v>6046</v>
      </c>
      <c r="D5952" s="4" t="str">
        <f>HYPERLINK("https://12go.asia/en/travel/rajpura-junction/delhi-cantt", "12Go Link")</f>
        <v>12Go Link</v>
      </c>
      <c r="E5952" s="3" t="s">
        <v>94</v>
      </c>
      <c r="K5952" s="5"/>
    </row>
    <row r="5953">
      <c r="A5953" s="3" t="s">
        <v>6045</v>
      </c>
      <c r="B5953" s="3" t="s">
        <v>4682</v>
      </c>
      <c r="C5953" s="3" t="s">
        <v>6047</v>
      </c>
      <c r="D5953" s="4" t="str">
        <f>HYPERLINK("https://12go.asia/en/travel/rajpura-junction/ghaziabad", "12Go Link")</f>
        <v>12Go Link</v>
      </c>
      <c r="E5953" s="3" t="s">
        <v>94</v>
      </c>
      <c r="K5953" s="5"/>
    </row>
    <row r="5954">
      <c r="A5954" s="3" t="s">
        <v>6048</v>
      </c>
      <c r="B5954" s="3" t="s">
        <v>5532</v>
      </c>
      <c r="C5954" s="3" t="s">
        <v>6049</v>
      </c>
      <c r="D5954" s="4" t="str">
        <f>HYPERLINK("https://12go.asia/en/travel/ramanathapuram/mandapam", "12Go Link")</f>
        <v>12Go Link</v>
      </c>
      <c r="E5954" s="3" t="s">
        <v>94</v>
      </c>
      <c r="K5954" s="5"/>
    </row>
    <row r="5955">
      <c r="A5955" s="3" t="s">
        <v>4536</v>
      </c>
      <c r="B5955" s="3" t="s">
        <v>4578</v>
      </c>
      <c r="C5955" s="3" t="s">
        <v>6050</v>
      </c>
      <c r="D5955" s="4" t="str">
        <f>HYPERLINK("https://12go.asia/en/travel/rampur/ludhiana", "12Go Link")</f>
        <v>12Go Link</v>
      </c>
      <c r="E5955" s="3" t="s">
        <v>94</v>
      </c>
      <c r="K5955" s="5"/>
    </row>
    <row r="5956">
      <c r="A5956" s="3" t="s">
        <v>3759</v>
      </c>
      <c r="B5956" s="3" t="s">
        <v>5540</v>
      </c>
      <c r="C5956" s="3" t="s">
        <v>6051</v>
      </c>
      <c r="D5956" s="4" t="str">
        <f>HYPERLINK("https://12go.asia/en/travel/ranchi/parasnath", "12Go Link")</f>
        <v>12Go Link</v>
      </c>
      <c r="E5956" s="3" t="s">
        <v>94</v>
      </c>
      <c r="K5956" s="5"/>
    </row>
    <row r="5957">
      <c r="A5957" s="3" t="s">
        <v>3759</v>
      </c>
      <c r="B5957" s="3" t="s">
        <v>3778</v>
      </c>
      <c r="C5957" s="3" t="s">
        <v>6052</v>
      </c>
      <c r="D5957" s="4" t="str">
        <f>HYPERLINK("https://12go.asia/en/travel/ranchi/vellore", "12Go Link")</f>
        <v>12Go Link</v>
      </c>
      <c r="E5957" s="3" t="s">
        <v>94</v>
      </c>
      <c r="K5957" s="5"/>
    </row>
    <row r="5958">
      <c r="A5958" s="3" t="s">
        <v>5122</v>
      </c>
      <c r="B5958" s="3" t="s">
        <v>3715</v>
      </c>
      <c r="C5958" s="3" t="s">
        <v>6053</v>
      </c>
      <c r="D5958" s="4" t="str">
        <f>HYPERLINK("https://12go.asia/en/travel/ranipet/chennai", "12Go Link")</f>
        <v>12Go Link</v>
      </c>
      <c r="E5958" s="3" t="s">
        <v>94</v>
      </c>
      <c r="K5958" s="5"/>
    </row>
    <row r="5959">
      <c r="A5959" s="3" t="s">
        <v>4023</v>
      </c>
      <c r="B5959" s="3" t="s">
        <v>155</v>
      </c>
      <c r="C5959" s="3" t="s">
        <v>6054</v>
      </c>
      <c r="D5959" s="4" t="str">
        <f>HYPERLINK("https://12go.asia/en/travel/ratlam/gujarat", "12Go Link")</f>
        <v>12Go Link</v>
      </c>
      <c r="E5959" s="3" t="s">
        <v>94</v>
      </c>
      <c r="K5959" s="5"/>
    </row>
    <row r="5960">
      <c r="A5960" s="3" t="s">
        <v>4023</v>
      </c>
      <c r="B5960" s="3" t="s">
        <v>3730</v>
      </c>
      <c r="C5960" s="3" t="s">
        <v>6055</v>
      </c>
      <c r="D5960" s="4" t="str">
        <f>HYPERLINK("https://12go.asia/en/travel/ratlam/kerala", "12Go Link")</f>
        <v>12Go Link</v>
      </c>
      <c r="E5960" s="3" t="s">
        <v>94</v>
      </c>
      <c r="K5960" s="5"/>
    </row>
    <row r="5961">
      <c r="A5961" s="3" t="s">
        <v>4023</v>
      </c>
      <c r="B5961" s="3" t="s">
        <v>3970</v>
      </c>
      <c r="C5961" s="3" t="s">
        <v>6056</v>
      </c>
      <c r="D5961" s="4" t="str">
        <f>HYPERLINK("https://12go.asia/en/travel/ratlam/navi-mumbai", "12Go Link")</f>
        <v>12Go Link</v>
      </c>
      <c r="E5961" s="3" t="s">
        <v>94</v>
      </c>
      <c r="K5961" s="5"/>
    </row>
    <row r="5962">
      <c r="A5962" s="3" t="s">
        <v>4023</v>
      </c>
      <c r="B5962" s="3" t="s">
        <v>3972</v>
      </c>
      <c r="C5962" s="3" t="s">
        <v>6057</v>
      </c>
      <c r="D5962" s="4" t="str">
        <f>HYPERLINK("https://12go.asia/en/travel/ratlam/pushkar", "12Go Link")</f>
        <v>12Go Link</v>
      </c>
      <c r="E5962" s="3" t="s">
        <v>94</v>
      </c>
      <c r="K5962" s="5"/>
    </row>
    <row r="5963">
      <c r="A5963" s="3" t="s">
        <v>4539</v>
      </c>
      <c r="B5963" s="3" t="s">
        <v>4033</v>
      </c>
      <c r="C5963" s="3" t="s">
        <v>6058</v>
      </c>
      <c r="D5963" s="4" t="str">
        <f>HYPERLINK("https://12go.asia/en/travel/ratnagiri/anjuna", "12Go Link")</f>
        <v>12Go Link</v>
      </c>
      <c r="E5963" s="3" t="s">
        <v>94</v>
      </c>
      <c r="K5963" s="5"/>
    </row>
    <row r="5964">
      <c r="A5964" s="3" t="s">
        <v>4539</v>
      </c>
      <c r="B5964" s="3" t="s">
        <v>3970</v>
      </c>
      <c r="C5964" s="3" t="s">
        <v>6059</v>
      </c>
      <c r="D5964" s="4" t="str">
        <f>HYPERLINK("https://12go.asia/en/travel/ratnagiri/navi-mumbai", "12Go Link")</f>
        <v>12Go Link</v>
      </c>
      <c r="E5964" s="3" t="s">
        <v>94</v>
      </c>
      <c r="K5964" s="5"/>
    </row>
    <row r="5965">
      <c r="A5965" s="3" t="s">
        <v>3921</v>
      </c>
      <c r="B5965" s="3" t="s">
        <v>4030</v>
      </c>
      <c r="C5965" s="3" t="s">
        <v>6060</v>
      </c>
      <c r="D5965" s="4" t="str">
        <f>HYPERLINK("https://12go.asia/en/travel/rayagada/visakhapatnam", "12Go Link")</f>
        <v>12Go Link</v>
      </c>
      <c r="E5965" s="3" t="s">
        <v>94</v>
      </c>
      <c r="K5965" s="5"/>
    </row>
    <row r="5966">
      <c r="A5966" s="3" t="s">
        <v>6061</v>
      </c>
      <c r="B5966" s="3" t="s">
        <v>3952</v>
      </c>
      <c r="C5966" s="3" t="s">
        <v>6062</v>
      </c>
      <c r="D5966" s="4" t="str">
        <f>HYPERLINK("https://12go.asia/en/travel/rohtak/basti", "12Go Link")</f>
        <v>12Go Link</v>
      </c>
      <c r="E5966" s="3" t="s">
        <v>94</v>
      </c>
      <c r="K5966" s="5"/>
    </row>
    <row r="5967">
      <c r="A5967" s="3" t="s">
        <v>6061</v>
      </c>
      <c r="B5967" s="3" t="s">
        <v>189</v>
      </c>
      <c r="C5967" s="3" t="s">
        <v>6063</v>
      </c>
      <c r="D5967" s="4" t="str">
        <f>HYPERLINK("https://12go.asia/en/travel/rohtak/vrindavan", "12Go Link")</f>
        <v>12Go Link</v>
      </c>
      <c r="E5967" s="3" t="s">
        <v>94</v>
      </c>
      <c r="K5967" s="5"/>
    </row>
    <row r="5968">
      <c r="A5968" s="3" t="s">
        <v>4216</v>
      </c>
      <c r="B5968" s="3" t="s">
        <v>4037</v>
      </c>
      <c r="C5968" s="3" t="s">
        <v>6064</v>
      </c>
      <c r="D5968" s="4" t="str">
        <f>HYPERLINK("https://12go.asia/en/travel/roorkee/bhopal", "12Go Link")</f>
        <v>12Go Link</v>
      </c>
      <c r="E5968" s="3" t="s">
        <v>94</v>
      </c>
      <c r="K5968" s="5"/>
    </row>
    <row r="5969">
      <c r="A5969" s="3" t="s">
        <v>4216</v>
      </c>
      <c r="B5969" s="3" t="s">
        <v>4037</v>
      </c>
      <c r="C5969" s="3" t="s">
        <v>6065</v>
      </c>
      <c r="D5969" s="4" t="str">
        <f>HYPERLINK("https://12go.asia/en/travel/roorkee/bhopal-jn", "12Go Link")</f>
        <v>12Go Link</v>
      </c>
      <c r="E5969" s="3" t="s">
        <v>94</v>
      </c>
      <c r="K5969" s="5"/>
    </row>
    <row r="5970">
      <c r="A5970" s="3" t="s">
        <v>4216</v>
      </c>
      <c r="B5970" s="3" t="s">
        <v>3701</v>
      </c>
      <c r="C5970" s="3" t="s">
        <v>6066</v>
      </c>
      <c r="D5970" s="4" t="str">
        <f>HYPERLINK("https://12go.asia/en/travel/roorkee/howrah", "12Go Link")</f>
        <v>12Go Link</v>
      </c>
      <c r="E5970" s="3" t="s">
        <v>94</v>
      </c>
      <c r="K5970" s="5"/>
    </row>
    <row r="5971">
      <c r="A5971" s="3" t="s">
        <v>4216</v>
      </c>
      <c r="B5971" s="3" t="s">
        <v>3704</v>
      </c>
      <c r="C5971" s="3" t="s">
        <v>6067</v>
      </c>
      <c r="D5971" s="4" t="str">
        <f>HYPERLINK("https://12go.asia/en/travel/roorkee/kolkata", "12Go Link")</f>
        <v>12Go Link</v>
      </c>
      <c r="E5971" s="3" t="s">
        <v>94</v>
      </c>
      <c r="K5971" s="5"/>
    </row>
    <row r="5972">
      <c r="A5972" s="3" t="s">
        <v>4216</v>
      </c>
      <c r="B5972" s="3" t="s">
        <v>4040</v>
      </c>
      <c r="C5972" s="3" t="s">
        <v>6068</v>
      </c>
      <c r="D5972" s="4" t="str">
        <f>HYPERLINK("https://12go.asia/en/travel/roorkee/madhya-pradesh", "12Go Link")</f>
        <v>12Go Link</v>
      </c>
      <c r="E5972" s="3" t="s">
        <v>94</v>
      </c>
      <c r="K5972" s="5"/>
    </row>
    <row r="5973">
      <c r="A5973" s="3" t="s">
        <v>4216</v>
      </c>
      <c r="B5973" s="3" t="s">
        <v>5725</v>
      </c>
      <c r="C5973" s="3" t="s">
        <v>6069</v>
      </c>
      <c r="D5973" s="4" t="str">
        <f>HYPERLINK("https://12go.asia/en/travel/roorkee/najibabad", "12Go Link")</f>
        <v>12Go Link</v>
      </c>
      <c r="E5973" s="3" t="s">
        <v>94</v>
      </c>
      <c r="K5973" s="5"/>
    </row>
    <row r="5974">
      <c r="A5974" s="3" t="s">
        <v>4216</v>
      </c>
      <c r="B5974" s="3" t="s">
        <v>5725</v>
      </c>
      <c r="C5974" s="3" t="s">
        <v>6070</v>
      </c>
      <c r="D5974" s="4" t="str">
        <f>HYPERLINK("https://12go.asia/en/travel/roorkee/najibabad-junction", "12Go Link")</f>
        <v>12Go Link</v>
      </c>
      <c r="E5974" s="3" t="s">
        <v>94</v>
      </c>
      <c r="K5974" s="5"/>
    </row>
    <row r="5975">
      <c r="A5975" s="3" t="s">
        <v>4216</v>
      </c>
      <c r="B5975" s="3" t="s">
        <v>4660</v>
      </c>
      <c r="C5975" s="3" t="s">
        <v>6071</v>
      </c>
      <c r="D5975" s="4" t="str">
        <f>HYPERLINK("https://12go.asia/en/travel/roorkee/pathankot", "12Go Link")</f>
        <v>12Go Link</v>
      </c>
      <c r="E5975" s="3" t="s">
        <v>94</v>
      </c>
      <c r="K5975" s="5"/>
    </row>
    <row r="5976">
      <c r="A5976" s="3" t="s">
        <v>4216</v>
      </c>
      <c r="B5976" s="3" t="s">
        <v>4660</v>
      </c>
      <c r="C5976" s="3" t="s">
        <v>6072</v>
      </c>
      <c r="D5976" s="4" t="str">
        <f>HYPERLINK("https://12go.asia/en/travel/roorkee/pathankot-cantt", "12Go Link")</f>
        <v>12Go Link</v>
      </c>
      <c r="E5976" s="3" t="s">
        <v>94</v>
      </c>
      <c r="K5976" s="5"/>
    </row>
    <row r="5977">
      <c r="A5977" s="3" t="s">
        <v>4216</v>
      </c>
      <c r="B5977" s="3" t="s">
        <v>6073</v>
      </c>
      <c r="C5977" s="3" t="s">
        <v>6074</v>
      </c>
      <c r="D5977" s="4" t="str">
        <f>HYPERLINK("https://12go.asia/en/travel/roorkee/patiala", "12Go Link")</f>
        <v>12Go Link</v>
      </c>
      <c r="E5977" s="3" t="s">
        <v>94</v>
      </c>
      <c r="K5977" s="5"/>
    </row>
    <row r="5978">
      <c r="A5978" s="3" t="s">
        <v>4216</v>
      </c>
      <c r="B5978" s="3" t="s">
        <v>3708</v>
      </c>
      <c r="C5978" s="3" t="s">
        <v>6075</v>
      </c>
      <c r="D5978" s="4" t="str">
        <f>HYPERLINK("https://12go.asia/en/travel/roorkee/west-bengal", "12Go Link")</f>
        <v>12Go Link</v>
      </c>
      <c r="E5978" s="3" t="s">
        <v>94</v>
      </c>
      <c r="K5978" s="5"/>
    </row>
    <row r="5979">
      <c r="A5979" s="3" t="s">
        <v>6076</v>
      </c>
      <c r="B5979" s="3" t="s">
        <v>3655</v>
      </c>
      <c r="C5979" s="3" t="s">
        <v>6077</v>
      </c>
      <c r="D5979" s="4" t="str">
        <f>HYPERLINK("https://12go.asia/en/travel/rudauli/haridwar", "12Go Link")</f>
        <v>12Go Link</v>
      </c>
      <c r="E5979" s="3" t="s">
        <v>94</v>
      </c>
      <c r="K5979" s="5"/>
    </row>
    <row r="5980">
      <c r="A5980" s="3" t="s">
        <v>6076</v>
      </c>
      <c r="B5980" s="3" t="s">
        <v>3655</v>
      </c>
      <c r="C5980" s="3" t="s">
        <v>6078</v>
      </c>
      <c r="D5980" s="4" t="str">
        <f>HYPERLINK("https://12go.asia/en/travel/rudauli/haridwar-jn", "12Go Link")</f>
        <v>12Go Link</v>
      </c>
      <c r="E5980" s="3" t="s">
        <v>94</v>
      </c>
      <c r="K5980" s="5"/>
    </row>
    <row r="5981">
      <c r="A5981" s="3" t="s">
        <v>6076</v>
      </c>
      <c r="B5981" s="3" t="s">
        <v>4233</v>
      </c>
      <c r="C5981" s="3" t="s">
        <v>6079</v>
      </c>
      <c r="D5981" s="4" t="str">
        <f>HYPERLINK("https://12go.asia/en/travel/rudauli/uttarakhand", "12Go Link")</f>
        <v>12Go Link</v>
      </c>
      <c r="E5981" s="3" t="s">
        <v>94</v>
      </c>
      <c r="K5981" s="5"/>
    </row>
    <row r="5982">
      <c r="A5982" s="3" t="s">
        <v>4475</v>
      </c>
      <c r="B5982" s="3" t="s">
        <v>3670</v>
      </c>
      <c r="C5982" s="3" t="s">
        <v>6080</v>
      </c>
      <c r="D5982" s="4" t="str">
        <f>HYPERLINK("https://12go.asia/en/travel/rudrapur-city/amritsar-jn", "12Go Link")</f>
        <v>12Go Link</v>
      </c>
      <c r="E5982" s="3" t="s">
        <v>94</v>
      </c>
      <c r="K5982" s="5"/>
    </row>
    <row r="5983">
      <c r="A5983" s="3" t="s">
        <v>6081</v>
      </c>
      <c r="B5983" s="3" t="s">
        <v>155</v>
      </c>
      <c r="C5983" s="3" t="s">
        <v>6082</v>
      </c>
      <c r="D5983" s="4" t="str">
        <f>HYPERLINK("https://12go.asia/en/travel/rupnagar/gujarat", "12Go Link")</f>
        <v>12Go Link</v>
      </c>
      <c r="E5983" s="3" t="s">
        <v>94</v>
      </c>
      <c r="K5983" s="5"/>
    </row>
    <row r="5984">
      <c r="A5984" s="3" t="s">
        <v>6081</v>
      </c>
      <c r="B5984" s="3" t="s">
        <v>3635</v>
      </c>
      <c r="C5984" s="3" t="s">
        <v>6083</v>
      </c>
      <c r="D5984" s="4" t="str">
        <f>HYPERLINK("https://12go.asia/en/travel/rupnagar/sabarmati", "12Go Link")</f>
        <v>12Go Link</v>
      </c>
      <c r="E5984" s="3" t="s">
        <v>94</v>
      </c>
      <c r="K5984" s="5"/>
    </row>
    <row r="5985">
      <c r="A5985" s="3" t="s">
        <v>6081</v>
      </c>
      <c r="B5985" s="3" t="s">
        <v>3635</v>
      </c>
      <c r="C5985" s="3" t="s">
        <v>6084</v>
      </c>
      <c r="D5985" s="4" t="str">
        <f>HYPERLINK("https://12go.asia/en/travel/rupnagar/sabarmati-junction", "12Go Link")</f>
        <v>12Go Link</v>
      </c>
      <c r="E5985" s="3" t="s">
        <v>94</v>
      </c>
      <c r="K5985" s="5"/>
    </row>
    <row r="5986">
      <c r="A5986" s="3" t="s">
        <v>3635</v>
      </c>
      <c r="B5986" s="3" t="s">
        <v>3578</v>
      </c>
      <c r="C5986" s="3" t="s">
        <v>6085</v>
      </c>
      <c r="D5986" s="4" t="str">
        <f>HYPERLINK("https://12go.asia/en/travel/sabarmati/abhaneri", "12Go Link")</f>
        <v>12Go Link</v>
      </c>
      <c r="E5986" s="3" t="s">
        <v>94</v>
      </c>
      <c r="K5986" s="5"/>
    </row>
    <row r="5987">
      <c r="A5987" s="3" t="s">
        <v>3635</v>
      </c>
      <c r="B5987" s="3" t="s">
        <v>149</v>
      </c>
      <c r="C5987" s="3" t="s">
        <v>6086</v>
      </c>
      <c r="D5987" s="4" t="str">
        <f>HYPERLINK("https://12go.asia/en/travel/sabarmati-junction-sbt/ahmedabad-jn", "12Go Link")</f>
        <v>12Go Link</v>
      </c>
      <c r="E5987" s="3" t="s">
        <v>94</v>
      </c>
      <c r="K5987" s="5"/>
    </row>
    <row r="5988">
      <c r="A5988" s="3" t="s">
        <v>3635</v>
      </c>
      <c r="B5988" s="3" t="s">
        <v>3619</v>
      </c>
      <c r="C5988" s="3" t="s">
        <v>6087</v>
      </c>
      <c r="D5988" s="4" t="str">
        <f>HYPERLINK("https://12go.asia/en/travel/sabarmati-junction/bandikui-junction", "12Go Link")</f>
        <v>12Go Link</v>
      </c>
      <c r="E5988" s="3" t="s">
        <v>94</v>
      </c>
      <c r="K5988" s="5"/>
    </row>
    <row r="5989">
      <c r="A5989" s="3" t="s">
        <v>3635</v>
      </c>
      <c r="B5989" s="3" t="s">
        <v>3619</v>
      </c>
      <c r="C5989" s="3" t="s">
        <v>6088</v>
      </c>
      <c r="D5989" s="4" t="str">
        <f>HYPERLINK("https://12go.asia/en/travel/sabarmati/bandikui", "12Go Link")</f>
        <v>12Go Link</v>
      </c>
      <c r="E5989" s="3" t="s">
        <v>94</v>
      </c>
      <c r="K5989" s="5"/>
    </row>
    <row r="5990">
      <c r="A5990" s="3" t="s">
        <v>3635</v>
      </c>
      <c r="B5990" s="3" t="s">
        <v>6089</v>
      </c>
      <c r="C5990" s="3" t="s">
        <v>6090</v>
      </c>
      <c r="D5990" s="4" t="str">
        <f>HYPERLINK("https://12go.asia/en/travel/sabarmati-junction/beawar", "12Go Link")</f>
        <v>12Go Link</v>
      </c>
      <c r="E5990" s="3" t="s">
        <v>94</v>
      </c>
      <c r="K5990" s="5"/>
    </row>
    <row r="5991">
      <c r="A5991" s="3" t="s">
        <v>3635</v>
      </c>
      <c r="B5991" s="3" t="s">
        <v>6089</v>
      </c>
      <c r="C5991" s="3" t="s">
        <v>6091</v>
      </c>
      <c r="D5991" s="4" t="str">
        <f>HYPERLINK("https://12go.asia/en/travel/sabarmati/beawar", "12Go Link")</f>
        <v>12Go Link</v>
      </c>
      <c r="E5991" s="3" t="s">
        <v>94</v>
      </c>
      <c r="K5991" s="5"/>
    </row>
    <row r="5992">
      <c r="A5992" s="3" t="s">
        <v>3635</v>
      </c>
      <c r="B5992" s="3" t="s">
        <v>5343</v>
      </c>
      <c r="C5992" s="3" t="s">
        <v>6092</v>
      </c>
      <c r="D5992" s="4" t="str">
        <f>HYPERLINK("https://12go.asia/en/travel/sabarmati-junction/kishangarh", "12Go Link")</f>
        <v>12Go Link</v>
      </c>
      <c r="E5992" s="3" t="s">
        <v>94</v>
      </c>
      <c r="K5992" s="5"/>
    </row>
    <row r="5993">
      <c r="A5993" s="3" t="s">
        <v>3635</v>
      </c>
      <c r="B5993" s="3" t="s">
        <v>5343</v>
      </c>
      <c r="C5993" s="3" t="s">
        <v>6093</v>
      </c>
      <c r="D5993" s="4" t="str">
        <f>HYPERLINK("https://12go.asia/en/travel/sabarmati/kishangarh", "12Go Link")</f>
        <v>12Go Link</v>
      </c>
      <c r="E5993" s="3" t="s">
        <v>94</v>
      </c>
      <c r="K5993" s="5"/>
    </row>
    <row r="5994">
      <c r="A5994" s="3" t="s">
        <v>3635</v>
      </c>
      <c r="B5994" s="3" t="s">
        <v>6094</v>
      </c>
      <c r="C5994" s="3" t="s">
        <v>6095</v>
      </c>
      <c r="D5994" s="4" t="str">
        <f>HYPERLINK("https://12go.asia/en/travel/sabarmati-junction/rewari", "12Go Link")</f>
        <v>12Go Link</v>
      </c>
      <c r="E5994" s="3" t="s">
        <v>94</v>
      </c>
      <c r="K5994" s="5"/>
    </row>
    <row r="5995">
      <c r="A5995" s="3" t="s">
        <v>3635</v>
      </c>
      <c r="B5995" s="3" t="s">
        <v>6094</v>
      </c>
      <c r="C5995" s="3" t="s">
        <v>6096</v>
      </c>
      <c r="D5995" s="4" t="str">
        <f>HYPERLINK("https://12go.asia/en/travel/sabarmati/rewari", "12Go Link")</f>
        <v>12Go Link</v>
      </c>
      <c r="E5995" s="3" t="s">
        <v>94</v>
      </c>
      <c r="K5995" s="5"/>
    </row>
    <row r="5996">
      <c r="A5996" s="3" t="s">
        <v>3635</v>
      </c>
      <c r="B5996" s="3" t="s">
        <v>4805</v>
      </c>
      <c r="C5996" s="3" t="s">
        <v>6097</v>
      </c>
      <c r="D5996" s="4" t="str">
        <f>HYPERLINK("https://12go.asia/en/travel/sabarmati-junction/una-himachal", "12Go Link")</f>
        <v>12Go Link</v>
      </c>
      <c r="E5996" s="3" t="s">
        <v>94</v>
      </c>
      <c r="K5996" s="5"/>
    </row>
    <row r="5997">
      <c r="A5997" s="3" t="s">
        <v>3635</v>
      </c>
      <c r="B5997" s="3" t="s">
        <v>4805</v>
      </c>
      <c r="C5997" s="3" t="s">
        <v>6098</v>
      </c>
      <c r="D5997" s="4" t="str">
        <f>HYPERLINK("https://12go.asia/en/travel/sabarmati/una-himachal", "12Go Link")</f>
        <v>12Go Link</v>
      </c>
      <c r="E5997" s="3" t="s">
        <v>94</v>
      </c>
      <c r="K5997" s="5"/>
    </row>
    <row r="5998">
      <c r="A5998" s="3" t="s">
        <v>4800</v>
      </c>
      <c r="B5998" s="3" t="s">
        <v>149</v>
      </c>
      <c r="C5998" s="3" t="s">
        <v>6099</v>
      </c>
      <c r="D5998" s="4" t="str">
        <f>HYPERLINK("https://12go.asia/en/travel/sadulpur/ahmedabad", "12Go Link")</f>
        <v>12Go Link</v>
      </c>
      <c r="E5998" s="3" t="s">
        <v>94</v>
      </c>
      <c r="K5998" s="5"/>
    </row>
    <row r="5999">
      <c r="A5999" s="3" t="s">
        <v>4800</v>
      </c>
      <c r="B5999" s="3" t="s">
        <v>155</v>
      </c>
      <c r="C5999" s="3" t="s">
        <v>6100</v>
      </c>
      <c r="D5999" s="4" t="str">
        <f>HYPERLINK("https://12go.asia/en/travel/sadulpur/gujarat", "12Go Link")</f>
        <v>12Go Link</v>
      </c>
      <c r="E5999" s="3" t="s">
        <v>94</v>
      </c>
      <c r="K5999" s="5"/>
    </row>
    <row r="6000">
      <c r="A6000" s="3" t="s">
        <v>4800</v>
      </c>
      <c r="B6000" s="3" t="s">
        <v>3842</v>
      </c>
      <c r="C6000" s="3" t="s">
        <v>6101</v>
      </c>
      <c r="D6000" s="4" t="str">
        <f>HYPERLINK("https://12go.asia/en/travel/sadulpur/new-delhi", "12Go Link")</f>
        <v>12Go Link</v>
      </c>
      <c r="E6000" s="3" t="s">
        <v>94</v>
      </c>
      <c r="K6000" s="5"/>
    </row>
    <row r="6001">
      <c r="A6001" s="3" t="s">
        <v>4077</v>
      </c>
      <c r="B6001" s="3" t="s">
        <v>5600</v>
      </c>
      <c r="C6001" s="3" t="s">
        <v>6102</v>
      </c>
      <c r="D6001" s="4" t="str">
        <f>HYPERLINK("https://12go.asia/en/travel/sagar/chittorgarh", "12Go Link")</f>
        <v>12Go Link</v>
      </c>
      <c r="E6001" s="3" t="s">
        <v>94</v>
      </c>
      <c r="K6001" s="5"/>
    </row>
    <row r="6002">
      <c r="A6002" s="3" t="s">
        <v>4077</v>
      </c>
      <c r="B6002" s="3" t="s">
        <v>4809</v>
      </c>
      <c r="C6002" s="3" t="s">
        <v>6103</v>
      </c>
      <c r="D6002" s="4" t="str">
        <f>HYPERLINK("https://12go.asia/en/travel/sagar/guna", "12Go Link")</f>
        <v>12Go Link</v>
      </c>
      <c r="E6002" s="3" t="s">
        <v>94</v>
      </c>
      <c r="K6002" s="5"/>
    </row>
    <row r="6003">
      <c r="A6003" s="3" t="s">
        <v>4077</v>
      </c>
      <c r="B6003" s="3" t="s">
        <v>4809</v>
      </c>
      <c r="C6003" s="3" t="s">
        <v>6104</v>
      </c>
      <c r="D6003" s="4" t="str">
        <f>HYPERLINK("https://12go.asia/en/travel/saugor/guna", "12Go Link")</f>
        <v>12Go Link</v>
      </c>
      <c r="E6003" s="3" t="s">
        <v>94</v>
      </c>
      <c r="K6003" s="5"/>
    </row>
    <row r="6004">
      <c r="A6004" s="3" t="s">
        <v>4077</v>
      </c>
      <c r="B6004" s="3" t="s">
        <v>4517</v>
      </c>
      <c r="C6004" s="3" t="s">
        <v>6105</v>
      </c>
      <c r="D6004" s="4" t="str">
        <f>HYPERLINK("https://12go.asia/en/travel/sagar/katni", "12Go Link")</f>
        <v>12Go Link</v>
      </c>
      <c r="E6004" s="3" t="s">
        <v>94</v>
      </c>
      <c r="K6004" s="5"/>
    </row>
    <row r="6005">
      <c r="A6005" s="3" t="s">
        <v>4077</v>
      </c>
      <c r="B6005" s="3" t="s">
        <v>4517</v>
      </c>
      <c r="C6005" s="3" t="s">
        <v>6106</v>
      </c>
      <c r="D6005" s="4" t="str">
        <f>HYPERLINK("https://12go.asia/en/travel/saugor/katni-murwara", "12Go Link")</f>
        <v>12Go Link</v>
      </c>
      <c r="E6005" s="3" t="s">
        <v>94</v>
      </c>
      <c r="K6005" s="5"/>
    </row>
    <row r="6006">
      <c r="A6006" s="3" t="s">
        <v>4077</v>
      </c>
      <c r="B6006" s="3" t="s">
        <v>163</v>
      </c>
      <c r="C6006" s="3" t="s">
        <v>6107</v>
      </c>
      <c r="D6006" s="4" t="str">
        <f>HYPERLINK("https://12go.asia/en/travel/sagar/maharashtra", "12Go Link")</f>
        <v>12Go Link</v>
      </c>
      <c r="E6006" s="3" t="s">
        <v>94</v>
      </c>
      <c r="K6006" s="5"/>
    </row>
    <row r="6007">
      <c r="A6007" s="3" t="s">
        <v>4077</v>
      </c>
      <c r="B6007" s="3" t="s">
        <v>167</v>
      </c>
      <c r="C6007" s="3" t="s">
        <v>6108</v>
      </c>
      <c r="D6007" s="4" t="str">
        <f>HYPERLINK("https://12go.asia/en/travel/sagar/mathura", "12Go Link")</f>
        <v>12Go Link</v>
      </c>
      <c r="E6007" s="3" t="s">
        <v>94</v>
      </c>
      <c r="K6007" s="5"/>
    </row>
    <row r="6008">
      <c r="A6008" s="3" t="s">
        <v>4077</v>
      </c>
      <c r="B6008" s="3" t="s">
        <v>167</v>
      </c>
      <c r="C6008" s="3" t="s">
        <v>6109</v>
      </c>
      <c r="D6008" s="4" t="str">
        <f>HYPERLINK("https://12go.asia/en/travel/saugor/mathura-jn", "12Go Link")</f>
        <v>12Go Link</v>
      </c>
      <c r="E6008" s="3" t="s">
        <v>94</v>
      </c>
      <c r="K6008" s="5"/>
    </row>
    <row r="6009">
      <c r="A6009" s="3" t="s">
        <v>4077</v>
      </c>
      <c r="B6009" s="3" t="s">
        <v>3690</v>
      </c>
      <c r="C6009" s="3" t="s">
        <v>6110</v>
      </c>
      <c r="D6009" s="4" t="str">
        <f>HYPERLINK("https://12go.asia/en/travel/sagar/mumbai", "12Go Link")</f>
        <v>12Go Link</v>
      </c>
      <c r="E6009" s="3" t="s">
        <v>94</v>
      </c>
      <c r="K6009" s="5"/>
    </row>
    <row r="6010">
      <c r="A6010" s="3" t="s">
        <v>4077</v>
      </c>
      <c r="B6010" s="3" t="s">
        <v>3690</v>
      </c>
      <c r="C6010" s="3" t="s">
        <v>6111</v>
      </c>
      <c r="D6010" s="4" t="str">
        <f>HYPERLINK("https://12go.asia/en/travel/saugor/lokmanya-tilak-term", "12Go Link")</f>
        <v>12Go Link</v>
      </c>
      <c r="E6010" s="3" t="s">
        <v>94</v>
      </c>
      <c r="K6010" s="5"/>
    </row>
    <row r="6011">
      <c r="A6011" s="3" t="s">
        <v>4077</v>
      </c>
      <c r="B6011" s="3" t="s">
        <v>3752</v>
      </c>
      <c r="C6011" s="3" t="s">
        <v>6112</v>
      </c>
      <c r="D6011" s="4" t="str">
        <f>HYPERLINK("https://12go.asia/en/travel/sagar/prayagraj", "12Go Link")</f>
        <v>12Go Link</v>
      </c>
      <c r="E6011" s="3" t="s">
        <v>94</v>
      </c>
      <c r="K6011" s="5"/>
    </row>
    <row r="6012">
      <c r="A6012" s="3" t="s">
        <v>4077</v>
      </c>
      <c r="B6012" s="3" t="s">
        <v>189</v>
      </c>
      <c r="C6012" s="3" t="s">
        <v>6113</v>
      </c>
      <c r="D6012" s="4" t="str">
        <f>HYPERLINK("https://12go.asia/en/travel/sagar/vrindavan", "12Go Link")</f>
        <v>12Go Link</v>
      </c>
      <c r="E6012" s="3" t="s">
        <v>94</v>
      </c>
      <c r="K6012" s="5"/>
    </row>
    <row r="6013">
      <c r="A6013" s="3" t="s">
        <v>3950</v>
      </c>
      <c r="B6013" s="3" t="s">
        <v>6114</v>
      </c>
      <c r="C6013" s="3" t="s">
        <v>6115</v>
      </c>
      <c r="D6013" s="4" t="str">
        <f>HYPERLINK("https://12go.asia/en/travel/saharanpur/deoband", "12Go Link")</f>
        <v>12Go Link</v>
      </c>
      <c r="E6013" s="3" t="s">
        <v>94</v>
      </c>
      <c r="K6013" s="5"/>
    </row>
    <row r="6014">
      <c r="A6014" s="3" t="s">
        <v>3950</v>
      </c>
      <c r="B6014" s="3" t="s">
        <v>4681</v>
      </c>
      <c r="C6014" s="3" t="s">
        <v>6116</v>
      </c>
      <c r="D6014" s="4" t="str">
        <f>HYPERLINK("https://12go.asia/en/travel/saharanpur/gaya", "12Go Link")</f>
        <v>12Go Link</v>
      </c>
      <c r="E6014" s="3" t="s">
        <v>94</v>
      </c>
      <c r="K6014" s="5"/>
    </row>
    <row r="6015">
      <c r="A6015" s="3" t="s">
        <v>3950</v>
      </c>
      <c r="B6015" s="3" t="s">
        <v>163</v>
      </c>
      <c r="C6015" s="3" t="s">
        <v>6117</v>
      </c>
      <c r="D6015" s="4" t="str">
        <f>HYPERLINK("https://12go.asia/en/travel/saharanpur/maharashtra", "12Go Link")</f>
        <v>12Go Link</v>
      </c>
      <c r="E6015" s="3" t="s">
        <v>94</v>
      </c>
      <c r="K6015" s="5"/>
    </row>
    <row r="6016">
      <c r="A6016" s="3" t="s">
        <v>3950</v>
      </c>
      <c r="B6016" s="3" t="s">
        <v>3739</v>
      </c>
      <c r="C6016" s="3" t="s">
        <v>6118</v>
      </c>
      <c r="D6016" s="4" t="str">
        <f>HYPERLINK("https://12go.asia/en/travel/saharanpur/mughalsarai", "12Go Link")</f>
        <v>12Go Link</v>
      </c>
      <c r="E6016" s="3" t="s">
        <v>94</v>
      </c>
      <c r="K6016" s="5"/>
    </row>
    <row r="6017">
      <c r="A6017" s="3" t="s">
        <v>4541</v>
      </c>
      <c r="B6017" s="3" t="s">
        <v>3960</v>
      </c>
      <c r="C6017" s="3" t="s">
        <v>6119</v>
      </c>
      <c r="D6017" s="4" t="str">
        <f>HYPERLINK("https://12go.asia/en/travel/saharsa-junction/begu-sarai", "12Go Link")</f>
        <v>12Go Link</v>
      </c>
      <c r="E6017" s="3" t="s">
        <v>94</v>
      </c>
      <c r="K6017" s="5"/>
    </row>
    <row r="6018">
      <c r="A6018" s="3" t="s">
        <v>4541</v>
      </c>
      <c r="B6018" s="3" t="s">
        <v>3960</v>
      </c>
      <c r="C6018" s="3" t="s">
        <v>6120</v>
      </c>
      <c r="D6018" s="4" t="str">
        <f>HYPERLINK("https://12go.asia/en/travel/saharsa/begusarai", "12Go Link")</f>
        <v>12Go Link</v>
      </c>
      <c r="E6018" s="3" t="s">
        <v>94</v>
      </c>
      <c r="K6018" s="5"/>
    </row>
    <row r="6019">
      <c r="A6019" s="3" t="s">
        <v>4541</v>
      </c>
      <c r="B6019" s="3" t="s">
        <v>3647</v>
      </c>
      <c r="C6019" s="3" t="s">
        <v>6121</v>
      </c>
      <c r="D6019" s="4" t="str">
        <f>HYPERLINK("https://12go.asia/en/travel/saharsa-junction/anand-vihar-trm", "12Go Link")</f>
        <v>12Go Link</v>
      </c>
      <c r="E6019" s="3" t="s">
        <v>94</v>
      </c>
      <c r="K6019" s="5"/>
    </row>
    <row r="6020">
      <c r="A6020" s="3" t="s">
        <v>3761</v>
      </c>
      <c r="B6020" s="3" t="s">
        <v>4099</v>
      </c>
      <c r="C6020" s="3" t="s">
        <v>6122</v>
      </c>
      <c r="D6020" s="4" t="str">
        <f>HYPERLINK("https://12go.asia/en/travel/samalkot-junction/sainagar-shirdi", "12Go Link")</f>
        <v>12Go Link</v>
      </c>
      <c r="E6020" s="3" t="s">
        <v>94</v>
      </c>
      <c r="K6020" s="5"/>
    </row>
    <row r="6021">
      <c r="A6021" s="3" t="s">
        <v>3761</v>
      </c>
      <c r="B6021" s="3" t="s">
        <v>4099</v>
      </c>
      <c r="C6021" s="3" t="s">
        <v>6123</v>
      </c>
      <c r="D6021" s="4" t="str">
        <f>HYPERLINK("https://12go.asia/en/travel/samalkot/shirdi", "12Go Link")</f>
        <v>12Go Link</v>
      </c>
      <c r="E6021" s="3" t="s">
        <v>94</v>
      </c>
      <c r="K6021" s="5"/>
    </row>
    <row r="6022">
      <c r="A6022" s="3" t="s">
        <v>3761</v>
      </c>
      <c r="B6022" s="3" t="s">
        <v>5501</v>
      </c>
      <c r="C6022" s="3" t="s">
        <v>6124</v>
      </c>
      <c r="D6022" s="4" t="str">
        <f>HYPERLINK("https://12go.asia/en/travel/samalkot-junction/tenali-junction", "12Go Link")</f>
        <v>12Go Link</v>
      </c>
      <c r="E6022" s="3" t="s">
        <v>94</v>
      </c>
      <c r="K6022" s="5"/>
    </row>
    <row r="6023">
      <c r="A6023" s="3" t="s">
        <v>3761</v>
      </c>
      <c r="B6023" s="3" t="s">
        <v>5501</v>
      </c>
      <c r="C6023" s="3" t="s">
        <v>6125</v>
      </c>
      <c r="D6023" s="4" t="str">
        <f>HYPERLINK("https://12go.asia/en/travel/samalkot/tenali", "12Go Link")</f>
        <v>12Go Link</v>
      </c>
      <c r="E6023" s="3" t="s">
        <v>94</v>
      </c>
      <c r="K6023" s="5"/>
    </row>
    <row r="6024">
      <c r="A6024" s="3" t="s">
        <v>4196</v>
      </c>
      <c r="B6024" s="3" t="s">
        <v>3847</v>
      </c>
      <c r="C6024" s="3" t="s">
        <v>6126</v>
      </c>
      <c r="D6024" s="4" t="str">
        <f>HYPERLINK("https://12go.asia/en/travel/samastipur-junction/new-bengaluru-terminal", "12Go Link")</f>
        <v>12Go Link</v>
      </c>
      <c r="E6024" s="3" t="s">
        <v>94</v>
      </c>
      <c r="K6024" s="5"/>
    </row>
    <row r="6025">
      <c r="A6025" s="3" t="s">
        <v>4196</v>
      </c>
      <c r="B6025" s="3" t="s">
        <v>3847</v>
      </c>
      <c r="C6025" s="3" t="s">
        <v>6127</v>
      </c>
      <c r="D6025" s="4" t="str">
        <f>HYPERLINK("https://12go.asia/en/travel/samastipur/bangalore", "12Go Link")</f>
        <v>12Go Link</v>
      </c>
      <c r="E6025" s="3" t="s">
        <v>94</v>
      </c>
      <c r="K6025" s="5"/>
    </row>
    <row r="6026">
      <c r="A6026" s="3" t="s">
        <v>4196</v>
      </c>
      <c r="B6026" s="3" t="s">
        <v>3663</v>
      </c>
      <c r="C6026" s="3" t="s">
        <v>6128</v>
      </c>
      <c r="D6026" s="4" t="str">
        <f>HYPERLINK("https://12go.asia/en/travel/samastipur-junction/jammu-tawi", "12Go Link")</f>
        <v>12Go Link</v>
      </c>
      <c r="E6026" s="3" t="s">
        <v>94</v>
      </c>
      <c r="K6026" s="5"/>
    </row>
    <row r="6027">
      <c r="A6027" s="3" t="s">
        <v>4196</v>
      </c>
      <c r="B6027" s="3" t="s">
        <v>3663</v>
      </c>
      <c r="C6027" s="3" t="s">
        <v>6129</v>
      </c>
      <c r="D6027" s="4" t="str">
        <f>HYPERLINK("https://12go.asia/en/travel/samastipur/jammu", "12Go Link")</f>
        <v>12Go Link</v>
      </c>
      <c r="E6027" s="3" t="s">
        <v>94</v>
      </c>
      <c r="K6027" s="5"/>
    </row>
    <row r="6028">
      <c r="A6028" s="3" t="s">
        <v>4196</v>
      </c>
      <c r="B6028" s="3" t="s">
        <v>4003</v>
      </c>
      <c r="C6028" s="3" t="s">
        <v>6130</v>
      </c>
      <c r="D6028" s="4" t="str">
        <f>HYPERLINK("https://12go.asia/en/travel/samastipur/jammu-and-kashmir", "12Go Link")</f>
        <v>12Go Link</v>
      </c>
      <c r="E6028" s="3" t="s">
        <v>94</v>
      </c>
      <c r="K6028" s="5"/>
    </row>
    <row r="6029">
      <c r="A6029" s="3" t="s">
        <v>4196</v>
      </c>
      <c r="B6029" s="3" t="s">
        <v>4005</v>
      </c>
      <c r="C6029" s="3" t="s">
        <v>6131</v>
      </c>
      <c r="D6029" s="4" t="str">
        <f>HYPERLINK("https://12go.asia/en/travel/samastipur/jammu-kashmir", "12Go Link")</f>
        <v>12Go Link</v>
      </c>
      <c r="E6029" s="3" t="s">
        <v>94</v>
      </c>
      <c r="K6029" s="5"/>
    </row>
    <row r="6030">
      <c r="A6030" s="3" t="s">
        <v>4196</v>
      </c>
      <c r="B6030" s="3" t="s">
        <v>4172</v>
      </c>
      <c r="C6030" s="3" t="s">
        <v>6132</v>
      </c>
      <c r="D6030" s="4" t="str">
        <f>HYPERLINK("https://12go.asia/en/travel/samastipur/karnataka", "12Go Link")</f>
        <v>12Go Link</v>
      </c>
      <c r="E6030" s="3" t="s">
        <v>94</v>
      </c>
      <c r="K6030" s="5"/>
    </row>
    <row r="6031">
      <c r="A6031" s="3" t="s">
        <v>4196</v>
      </c>
      <c r="B6031" s="3" t="s">
        <v>4192</v>
      </c>
      <c r="C6031" s="3" t="s">
        <v>6133</v>
      </c>
      <c r="D6031" s="4" t="str">
        <f>HYPERLINK("https://12go.asia/en/travel/samastipur-junction/purnea-junction", "12Go Link")</f>
        <v>12Go Link</v>
      </c>
      <c r="E6031" s="3" t="s">
        <v>94</v>
      </c>
      <c r="K6031" s="5"/>
    </row>
    <row r="6032">
      <c r="A6032" s="3" t="s">
        <v>4196</v>
      </c>
      <c r="B6032" s="3" t="s">
        <v>4192</v>
      </c>
      <c r="C6032" s="3" t="s">
        <v>6134</v>
      </c>
      <c r="D6032" s="4" t="str">
        <f>HYPERLINK("https://12go.asia/en/travel/samastipur/purnia", "12Go Link")</f>
        <v>12Go Link</v>
      </c>
      <c r="E6032" s="3" t="s">
        <v>94</v>
      </c>
      <c r="K6032" s="5"/>
    </row>
    <row r="6033">
      <c r="A6033" s="3" t="s">
        <v>6135</v>
      </c>
      <c r="B6033" s="3" t="s">
        <v>3701</v>
      </c>
      <c r="C6033" s="3" t="s">
        <v>6136</v>
      </c>
      <c r="D6033" s="4" t="str">
        <f>HYPERLINK("https://12go.asia/en/travel/samsi/howrah", "12Go Link")</f>
        <v>12Go Link</v>
      </c>
      <c r="E6033" s="3" t="s">
        <v>94</v>
      </c>
      <c r="K6033" s="5"/>
    </row>
    <row r="6034">
      <c r="A6034" s="3" t="s">
        <v>6135</v>
      </c>
      <c r="B6034" s="3" t="s">
        <v>4166</v>
      </c>
      <c r="C6034" s="3" t="s">
        <v>6137</v>
      </c>
      <c r="D6034" s="4" t="str">
        <f>HYPERLINK("https://12go.asia/en/travel/samsi/jalpaiguri", "12Go Link")</f>
        <v>12Go Link</v>
      </c>
      <c r="E6034" s="3" t="s">
        <v>94</v>
      </c>
      <c r="K6034" s="5"/>
    </row>
    <row r="6035">
      <c r="A6035" s="3" t="s">
        <v>6135</v>
      </c>
      <c r="B6035" s="3" t="s">
        <v>4166</v>
      </c>
      <c r="C6035" s="3" t="s">
        <v>6138</v>
      </c>
      <c r="D6035" s="4" t="str">
        <f>HYPERLINK("https://12go.asia/en/travel/samsi/jalpaiguri-road", "12Go Link")</f>
        <v>12Go Link</v>
      </c>
      <c r="E6035" s="3" t="s">
        <v>94</v>
      </c>
      <c r="K6035" s="5"/>
    </row>
    <row r="6036">
      <c r="A6036" s="3" t="s">
        <v>6135</v>
      </c>
      <c r="B6036" s="3" t="s">
        <v>3704</v>
      </c>
      <c r="C6036" s="3" t="s">
        <v>6139</v>
      </c>
      <c r="D6036" s="4" t="str">
        <f>HYPERLINK("https://12go.asia/en/travel/samsi/kolkata", "12Go Link")</f>
        <v>12Go Link</v>
      </c>
      <c r="E6036" s="3" t="s">
        <v>94</v>
      </c>
      <c r="K6036" s="5"/>
    </row>
    <row r="6037">
      <c r="A6037" s="3" t="s">
        <v>6135</v>
      </c>
      <c r="B6037" s="3" t="s">
        <v>3704</v>
      </c>
      <c r="C6037" s="3" t="s">
        <v>6140</v>
      </c>
      <c r="D6037" s="4" t="str">
        <f>HYPERLINK("https://12go.asia/en/travel/samsi/sealdah", "12Go Link")</f>
        <v>12Go Link</v>
      </c>
      <c r="E6037" s="3" t="s">
        <v>94</v>
      </c>
      <c r="K6037" s="5"/>
    </row>
    <row r="6038">
      <c r="A6038" s="3" t="s">
        <v>6135</v>
      </c>
      <c r="B6038" s="3" t="s">
        <v>3708</v>
      </c>
      <c r="C6038" s="3" t="s">
        <v>6141</v>
      </c>
      <c r="D6038" s="4" t="str">
        <f>HYPERLINK("https://12go.asia/en/travel/samsi/west-bengal", "12Go Link")</f>
        <v>12Go Link</v>
      </c>
      <c r="E6038" s="3" t="s">
        <v>94</v>
      </c>
      <c r="K6038" s="5"/>
    </row>
    <row r="6039">
      <c r="A6039" s="3" t="s">
        <v>5995</v>
      </c>
      <c r="B6039" s="3" t="s">
        <v>3666</v>
      </c>
      <c r="C6039" s="3" t="s">
        <v>6142</v>
      </c>
      <c r="D6039" s="4" t="str">
        <f>HYPERLINK("https://12go.asia/en/travel/sasaram/mughal-sarai-junction", "12Go Link")</f>
        <v>12Go Link</v>
      </c>
      <c r="E6039" s="3" t="s">
        <v>94</v>
      </c>
      <c r="K6039" s="5"/>
    </row>
    <row r="6040">
      <c r="A6040" s="3" t="s">
        <v>4772</v>
      </c>
      <c r="B6040" s="3" t="s">
        <v>3847</v>
      </c>
      <c r="C6040" s="3" t="s">
        <v>6143</v>
      </c>
      <c r="D6040" s="4" t="str">
        <f>HYPERLINK("https://12go.asia/en/travel/satna/bangalore", "12Go Link")</f>
        <v>12Go Link</v>
      </c>
      <c r="E6040" s="3" t="s">
        <v>94</v>
      </c>
      <c r="K6040" s="5"/>
    </row>
    <row r="6041">
      <c r="A6041" s="3" t="s">
        <v>4772</v>
      </c>
      <c r="B6041" s="3" t="s">
        <v>3847</v>
      </c>
      <c r="C6041" s="3" t="s">
        <v>6144</v>
      </c>
      <c r="D6041" s="4" t="str">
        <f>HYPERLINK("https://12go.asia/en/travel/satna/new-bengaluru-terminal", "12Go Link")</f>
        <v>12Go Link</v>
      </c>
      <c r="E6041" s="3" t="s">
        <v>94</v>
      </c>
      <c r="K6041" s="5"/>
    </row>
    <row r="6042">
      <c r="A6042" s="3" t="s">
        <v>4133</v>
      </c>
      <c r="B6042" s="3" t="s">
        <v>4037</v>
      </c>
      <c r="C6042" s="3" t="s">
        <v>6145</v>
      </c>
      <c r="D6042" s="4" t="str">
        <f>HYPERLINK("https://12go.asia/en/travel/sevagram/bhopal", "12Go Link")</f>
        <v>12Go Link</v>
      </c>
      <c r="E6042" s="3" t="s">
        <v>94</v>
      </c>
      <c r="K6042" s="5"/>
    </row>
    <row r="6043">
      <c r="A6043" s="3" t="s">
        <v>4133</v>
      </c>
      <c r="B6043" s="3" t="s">
        <v>4037</v>
      </c>
      <c r="C6043" s="3" t="s">
        <v>6146</v>
      </c>
      <c r="D6043" s="4" t="str">
        <f>HYPERLINK("https://12go.asia/en/travel/sevagram/bhopal-jn", "12Go Link")</f>
        <v>12Go Link</v>
      </c>
      <c r="E6043" s="3" t="s">
        <v>94</v>
      </c>
      <c r="K6043" s="5"/>
    </row>
    <row r="6044">
      <c r="A6044" s="3" t="s">
        <v>5897</v>
      </c>
      <c r="B6044" s="3" t="s">
        <v>3776</v>
      </c>
      <c r="C6044" s="3" t="s">
        <v>6147</v>
      </c>
      <c r="D6044" s="4" t="str">
        <f>HYPERLINK("https://12go.asia/en/travel/shahdol/ujjain", "12Go Link")</f>
        <v>12Go Link</v>
      </c>
      <c r="E6044" s="3" t="s">
        <v>94</v>
      </c>
      <c r="K6044" s="5"/>
    </row>
    <row r="6045">
      <c r="A6045" s="3" t="s">
        <v>6148</v>
      </c>
      <c r="B6045" s="3" t="s">
        <v>3615</v>
      </c>
      <c r="C6045" s="3" t="s">
        <v>6149</v>
      </c>
      <c r="D6045" s="4" t="str">
        <f>HYPERLINK("https://12go.asia/en/travel/shegaon/akola", "12Go Link")</f>
        <v>12Go Link</v>
      </c>
      <c r="E6045" s="3" t="s">
        <v>94</v>
      </c>
      <c r="K6045" s="5"/>
    </row>
    <row r="6046">
      <c r="A6046" s="3" t="s">
        <v>6148</v>
      </c>
      <c r="B6046" s="3" t="s">
        <v>3615</v>
      </c>
      <c r="C6046" s="3" t="s">
        <v>6150</v>
      </c>
      <c r="D6046" s="4" t="str">
        <f>HYPERLINK("https://12go.asia/en/travel/shegaon/akola-junction", "12Go Link")</f>
        <v>12Go Link</v>
      </c>
      <c r="E6046" s="3" t="s">
        <v>94</v>
      </c>
      <c r="K6046" s="5"/>
    </row>
    <row r="6047">
      <c r="A6047" s="3" t="s">
        <v>6148</v>
      </c>
      <c r="B6047" s="3" t="s">
        <v>163</v>
      </c>
      <c r="C6047" s="3" t="s">
        <v>6151</v>
      </c>
      <c r="D6047" s="4" t="str">
        <f>HYPERLINK("https://12go.asia/en/travel/shegaon/maharashtra", "12Go Link")</f>
        <v>12Go Link</v>
      </c>
      <c r="E6047" s="3" t="s">
        <v>94</v>
      </c>
      <c r="K6047" s="5"/>
    </row>
    <row r="6048">
      <c r="A6048" s="3" t="s">
        <v>6148</v>
      </c>
      <c r="B6048" s="3" t="s">
        <v>4407</v>
      </c>
      <c r="C6048" s="3" t="s">
        <v>6152</v>
      </c>
      <c r="D6048" s="4" t="str">
        <f>HYPERLINK("https://12go.asia/en/travel/shegaon/nashik", "12Go Link")</f>
        <v>12Go Link</v>
      </c>
      <c r="E6048" s="3" t="s">
        <v>94</v>
      </c>
      <c r="K6048" s="5"/>
    </row>
    <row r="6049">
      <c r="A6049" s="3" t="s">
        <v>6148</v>
      </c>
      <c r="B6049" s="3" t="s">
        <v>4407</v>
      </c>
      <c r="C6049" s="3" t="s">
        <v>6153</v>
      </c>
      <c r="D6049" s="4" t="str">
        <f>HYPERLINK("https://12go.asia/en/travel/shegaon/nasik-road", "12Go Link")</f>
        <v>12Go Link</v>
      </c>
      <c r="E6049" s="3" t="s">
        <v>94</v>
      </c>
      <c r="K6049" s="5"/>
    </row>
    <row r="6050">
      <c r="A6050" s="3" t="s">
        <v>6148</v>
      </c>
      <c r="B6050" s="3" t="s">
        <v>4133</v>
      </c>
      <c r="C6050" s="3" t="s">
        <v>6154</v>
      </c>
      <c r="D6050" s="4" t="str">
        <f>HYPERLINK("https://12go.asia/en/travel/shegaon/sevagram", "12Go Link")</f>
        <v>12Go Link</v>
      </c>
      <c r="E6050" s="3" t="s">
        <v>94</v>
      </c>
      <c r="K6050" s="5"/>
    </row>
    <row r="6051">
      <c r="A6051" s="3" t="s">
        <v>6148</v>
      </c>
      <c r="B6051" s="3" t="s">
        <v>4135</v>
      </c>
      <c r="C6051" s="3" t="s">
        <v>6155</v>
      </c>
      <c r="D6051" s="4" t="str">
        <f>HYPERLINK("https://12go.asia/en/travel/shegaon/wardha", "12Go Link")</f>
        <v>12Go Link</v>
      </c>
      <c r="E6051" s="3" t="s">
        <v>94</v>
      </c>
      <c r="K6051" s="5"/>
    </row>
    <row r="6052">
      <c r="A6052" s="3" t="s">
        <v>6148</v>
      </c>
      <c r="B6052" s="3" t="s">
        <v>4135</v>
      </c>
      <c r="C6052" s="3" t="s">
        <v>6156</v>
      </c>
      <c r="D6052" s="4" t="str">
        <f>HYPERLINK("https://12go.asia/en/travel/shegaon/wardha-junction", "12Go Link")</f>
        <v>12Go Link</v>
      </c>
      <c r="E6052" s="3" t="s">
        <v>94</v>
      </c>
      <c r="K6052" s="5"/>
    </row>
    <row r="6053">
      <c r="A6053" s="3" t="s">
        <v>3798</v>
      </c>
      <c r="B6053" s="3" t="s">
        <v>5372</v>
      </c>
      <c r="C6053" s="3" t="s">
        <v>6157</v>
      </c>
      <c r="D6053" s="4" t="str">
        <f>HYPERLINK("https://12go.asia/en/travel/bagdogra/alipur-duar-junction", "12Go Link")</f>
        <v>12Go Link</v>
      </c>
      <c r="E6053" s="3" t="s">
        <v>94</v>
      </c>
      <c r="K6053" s="5"/>
    </row>
    <row r="6054">
      <c r="A6054" s="3" t="s">
        <v>3798</v>
      </c>
      <c r="B6054" s="3" t="s">
        <v>4178</v>
      </c>
      <c r="C6054" s="3" t="s">
        <v>6158</v>
      </c>
      <c r="D6054" s="4" t="str">
        <f>HYPERLINK("https://12go.asia/en/travel/new-jalpaiguri/khagaria-junction", "12Go Link")</f>
        <v>12Go Link</v>
      </c>
      <c r="E6054" s="3" t="s">
        <v>94</v>
      </c>
      <c r="K6054" s="5"/>
    </row>
    <row r="6055">
      <c r="A6055" s="3" t="s">
        <v>3798</v>
      </c>
      <c r="B6055" s="3" t="s">
        <v>4178</v>
      </c>
      <c r="C6055" s="3" t="s">
        <v>6159</v>
      </c>
      <c r="D6055" s="4" t="str">
        <f>HYPERLINK("https://12go.asia/en/travel/siliguri/khagaria", "12Go Link")</f>
        <v>12Go Link</v>
      </c>
      <c r="E6055" s="3" t="s">
        <v>94</v>
      </c>
      <c r="K6055" s="5"/>
    </row>
    <row r="6056">
      <c r="A6056" s="3" t="s">
        <v>3798</v>
      </c>
      <c r="B6056" s="3" t="s">
        <v>4684</v>
      </c>
      <c r="C6056" s="3" t="s">
        <v>6160</v>
      </c>
      <c r="D6056" s="4" t="str">
        <f>HYPERLINK("https://12go.asia/en/travel/siliguri-junction/malda-town", "12Go Link")</f>
        <v>12Go Link</v>
      </c>
      <c r="E6056" s="3" t="s">
        <v>94</v>
      </c>
      <c r="K6056" s="5"/>
    </row>
    <row r="6057">
      <c r="A6057" s="3" t="s">
        <v>3798</v>
      </c>
      <c r="B6057" s="3" t="s">
        <v>3773</v>
      </c>
      <c r="C6057" s="3" t="s">
        <v>6161</v>
      </c>
      <c r="D6057" s="4" t="str">
        <f>HYPERLINK("https://12go.asia/en/travel/new-jalpaiguri/tambaram", "12Go Link")</f>
        <v>12Go Link</v>
      </c>
      <c r="E6057" s="3" t="s">
        <v>94</v>
      </c>
      <c r="K6057" s="5"/>
    </row>
    <row r="6058">
      <c r="A6058" s="3" t="s">
        <v>3798</v>
      </c>
      <c r="B6058" s="3" t="s">
        <v>3773</v>
      </c>
      <c r="C6058" s="3" t="s">
        <v>6162</v>
      </c>
      <c r="D6058" s="4" t="str">
        <f>HYPERLINK("https://12go.asia/en/travel/siliguri/tambaram", "12Go Link")</f>
        <v>12Go Link</v>
      </c>
      <c r="E6058" s="3" t="s">
        <v>94</v>
      </c>
      <c r="K6058" s="5"/>
    </row>
    <row r="6059">
      <c r="A6059" s="3" t="s">
        <v>4101</v>
      </c>
      <c r="B6059" s="3" t="s">
        <v>3712</v>
      </c>
      <c r="C6059" s="3" t="s">
        <v>6163</v>
      </c>
      <c r="D6059" s="4" t="str">
        <f>HYPERLINK("https://12go.asia/en/travel/simhachalam/amadalavalasa", "12Go Link")</f>
        <v>12Go Link</v>
      </c>
      <c r="E6059" s="3" t="s">
        <v>94</v>
      </c>
      <c r="K6059" s="5"/>
    </row>
    <row r="6060">
      <c r="A6060" s="3" t="s">
        <v>4101</v>
      </c>
      <c r="B6060" s="3" t="s">
        <v>6164</v>
      </c>
      <c r="C6060" s="3" t="s">
        <v>6165</v>
      </c>
      <c r="D6060" s="4" t="str">
        <f>HYPERLINK("https://12go.asia/en/travel/simhachalam/parvatipuram", "12Go Link")</f>
        <v>12Go Link</v>
      </c>
      <c r="E6060" s="3" t="s">
        <v>94</v>
      </c>
      <c r="K6060" s="5"/>
    </row>
    <row r="6061">
      <c r="A6061" s="3" t="s">
        <v>5823</v>
      </c>
      <c r="B6061" s="3" t="s">
        <v>3682</v>
      </c>
      <c r="C6061" s="3" t="s">
        <v>6166</v>
      </c>
      <c r="D6061" s="4" t="str">
        <f>HYPERLINK("https://12go.asia/en/travel/sindhudurg/kalyan", "12Go Link")</f>
        <v>12Go Link</v>
      </c>
      <c r="E6061" s="3" t="s">
        <v>94</v>
      </c>
      <c r="K6061" s="5"/>
    </row>
    <row r="6062">
      <c r="A6062" s="3" t="s">
        <v>5823</v>
      </c>
      <c r="B6062" s="3" t="s">
        <v>165</v>
      </c>
      <c r="C6062" s="3" t="s">
        <v>6167</v>
      </c>
      <c r="D6062" s="4" t="str">
        <f>HYPERLINK("https://12go.asia/en/travel/sindhudurg/margao", "12Go Link")</f>
        <v>12Go Link</v>
      </c>
      <c r="E6062" s="3" t="s">
        <v>94</v>
      </c>
      <c r="K6062" s="5"/>
    </row>
    <row r="6063">
      <c r="A6063" s="3" t="s">
        <v>5823</v>
      </c>
      <c r="B6063" s="3" t="s">
        <v>3970</v>
      </c>
      <c r="C6063" s="3" t="s">
        <v>6168</v>
      </c>
      <c r="D6063" s="4" t="str">
        <f>HYPERLINK("https://12go.asia/en/travel/sindhudurg/navi-mumbai", "12Go Link")</f>
        <v>12Go Link</v>
      </c>
      <c r="E6063" s="3" t="s">
        <v>94</v>
      </c>
      <c r="K6063" s="5"/>
    </row>
    <row r="6064">
      <c r="A6064" s="3" t="s">
        <v>5823</v>
      </c>
      <c r="B6064" s="3" t="s">
        <v>4441</v>
      </c>
      <c r="C6064" s="3" t="s">
        <v>6169</v>
      </c>
      <c r="D6064" s="4" t="str">
        <f>HYPERLINK("https://12go.asia/en/travel/sindhudurg/north-goa", "12Go Link")</f>
        <v>12Go Link</v>
      </c>
      <c r="E6064" s="3" t="s">
        <v>94</v>
      </c>
      <c r="K6064" s="5"/>
    </row>
    <row r="6065">
      <c r="A6065" s="3" t="s">
        <v>5823</v>
      </c>
      <c r="B6065" s="3" t="s">
        <v>5243</v>
      </c>
      <c r="C6065" s="3" t="s">
        <v>6170</v>
      </c>
      <c r="D6065" s="4" t="str">
        <f>HYPERLINK("https://12go.asia/en/travel/sindhudurg/old-goa", "12Go Link")</f>
        <v>12Go Link</v>
      </c>
      <c r="E6065" s="3" t="s">
        <v>94</v>
      </c>
      <c r="K6065" s="5"/>
    </row>
    <row r="6066">
      <c r="A6066" s="3" t="s">
        <v>5497</v>
      </c>
      <c r="B6066" s="3" t="s">
        <v>3638</v>
      </c>
      <c r="C6066" s="3" t="s">
        <v>6171</v>
      </c>
      <c r="D6066" s="4" t="str">
        <f>HYPERLINK("https://12go.asia/en/travel/singarayakonda/secunderabad", "12Go Link")</f>
        <v>12Go Link</v>
      </c>
      <c r="E6066" s="3" t="s">
        <v>94</v>
      </c>
      <c r="K6066" s="5"/>
    </row>
    <row r="6067">
      <c r="A6067" s="3" t="s">
        <v>5497</v>
      </c>
      <c r="B6067" s="3" t="s">
        <v>3678</v>
      </c>
      <c r="C6067" s="3" t="s">
        <v>6172</v>
      </c>
      <c r="D6067" s="4" t="str">
        <f>HYPERLINK("https://12go.asia/en/travel/singarayakonda/lingampalli", "12Go Link")</f>
        <v>12Go Link</v>
      </c>
      <c r="E6067" s="3" t="s">
        <v>94</v>
      </c>
      <c r="K6067" s="5"/>
    </row>
    <row r="6068">
      <c r="A6068" s="3" t="s">
        <v>5497</v>
      </c>
      <c r="B6068" s="3" t="s">
        <v>4143</v>
      </c>
      <c r="C6068" s="3" t="s">
        <v>6173</v>
      </c>
      <c r="D6068" s="4" t="str">
        <f>HYPERLINK("https://12go.asia/en/travel/singarayakonda/telangana", "12Go Link")</f>
        <v>12Go Link</v>
      </c>
      <c r="E6068" s="3" t="s">
        <v>94</v>
      </c>
      <c r="K6068" s="5"/>
    </row>
    <row r="6069">
      <c r="A6069" s="3" t="s">
        <v>6174</v>
      </c>
      <c r="B6069" s="3" t="s">
        <v>3647</v>
      </c>
      <c r="C6069" s="3" t="s">
        <v>6175</v>
      </c>
      <c r="D6069" s="4" t="str">
        <f>HYPERLINK("https://12go.asia/en/travel/singrauli/delhi", "12Go Link")</f>
        <v>12Go Link</v>
      </c>
      <c r="E6069" s="3" t="s">
        <v>94</v>
      </c>
      <c r="K6069" s="5"/>
    </row>
    <row r="6070">
      <c r="A6070" s="3" t="s">
        <v>6174</v>
      </c>
      <c r="B6070" s="3" t="s">
        <v>3647</v>
      </c>
      <c r="C6070" s="3" t="s">
        <v>6176</v>
      </c>
      <c r="D6070" s="4" t="str">
        <f>HYPERLINK("https://12go.asia/en/travel/singrauli/hazrat-nizamuddin", "12Go Link")</f>
        <v>12Go Link</v>
      </c>
      <c r="E6070" s="3" t="s">
        <v>94</v>
      </c>
      <c r="K6070" s="5"/>
    </row>
    <row r="6071">
      <c r="A6071" s="3" t="s">
        <v>6174</v>
      </c>
      <c r="B6071" s="3" t="s">
        <v>3701</v>
      </c>
      <c r="C6071" s="3" t="s">
        <v>6177</v>
      </c>
      <c r="D6071" s="4" t="str">
        <f>HYPERLINK("https://12go.asia/en/travel/singrauli/howrah", "12Go Link")</f>
        <v>12Go Link</v>
      </c>
      <c r="E6071" s="3" t="s">
        <v>94</v>
      </c>
      <c r="K6071" s="5"/>
    </row>
    <row r="6072">
      <c r="A6072" s="3" t="s">
        <v>6174</v>
      </c>
      <c r="B6072" s="3" t="s">
        <v>3704</v>
      </c>
      <c r="C6072" s="3" t="s">
        <v>6178</v>
      </c>
      <c r="D6072" s="4" t="str">
        <f>HYPERLINK("https://12go.asia/en/travel/singrauli/kolkata", "12Go Link")</f>
        <v>12Go Link</v>
      </c>
      <c r="E6072" s="3" t="s">
        <v>94</v>
      </c>
      <c r="K6072" s="5"/>
    </row>
    <row r="6073">
      <c r="A6073" s="3" t="s">
        <v>6174</v>
      </c>
      <c r="B6073" s="3" t="s">
        <v>3842</v>
      </c>
      <c r="C6073" s="3" t="s">
        <v>6179</v>
      </c>
      <c r="D6073" s="4" t="str">
        <f>HYPERLINK("https://12go.asia/en/travel/singrauli/new-delhi", "12Go Link")</f>
        <v>12Go Link</v>
      </c>
      <c r="E6073" s="3" t="s">
        <v>94</v>
      </c>
      <c r="K6073" s="5"/>
    </row>
    <row r="6074">
      <c r="A6074" s="3" t="s">
        <v>6174</v>
      </c>
      <c r="B6074" s="3" t="s">
        <v>3708</v>
      </c>
      <c r="C6074" s="3" t="s">
        <v>6180</v>
      </c>
      <c r="D6074" s="4" t="str">
        <f>HYPERLINK("https://12go.asia/en/travel/singrauli/west-bengal", "12Go Link")</f>
        <v>12Go Link</v>
      </c>
      <c r="E6074" s="3" t="s">
        <v>94</v>
      </c>
      <c r="K6074" s="5"/>
    </row>
    <row r="6075">
      <c r="A6075" s="3" t="s">
        <v>4549</v>
      </c>
      <c r="B6075" s="3" t="s">
        <v>3986</v>
      </c>
      <c r="C6075" s="3" t="s">
        <v>6181</v>
      </c>
      <c r="D6075" s="4" t="str">
        <f>HYPERLINK("https://12go.asia/en/travel/sirhind-junction/jaipur", "12Go Link")</f>
        <v>12Go Link</v>
      </c>
      <c r="E6075" s="3" t="s">
        <v>94</v>
      </c>
      <c r="K6075" s="5"/>
    </row>
    <row r="6076">
      <c r="A6076" s="3" t="s">
        <v>4549</v>
      </c>
      <c r="B6076" s="3" t="s">
        <v>3986</v>
      </c>
      <c r="C6076" s="3" t="s">
        <v>6182</v>
      </c>
      <c r="D6076" s="4" t="str">
        <f>HYPERLINK("https://12go.asia/en/travel/sirhind/jaipur", "12Go Link")</f>
        <v>12Go Link</v>
      </c>
      <c r="E6076" s="3" t="s">
        <v>94</v>
      </c>
      <c r="K6076" s="5"/>
    </row>
    <row r="6077">
      <c r="A6077" s="3" t="s">
        <v>4549</v>
      </c>
      <c r="B6077" s="3" t="s">
        <v>3663</v>
      </c>
      <c r="C6077" s="3" t="s">
        <v>6183</v>
      </c>
      <c r="D6077" s="4" t="str">
        <f>HYPERLINK("https://12go.asia/en/travel/sirhind-junction/jammu-tawi", "12Go Link")</f>
        <v>12Go Link</v>
      </c>
      <c r="E6077" s="3" t="s">
        <v>94</v>
      </c>
      <c r="K6077" s="5"/>
    </row>
    <row r="6078">
      <c r="A6078" s="3" t="s">
        <v>4549</v>
      </c>
      <c r="B6078" s="3" t="s">
        <v>3663</v>
      </c>
      <c r="C6078" s="3" t="s">
        <v>6184</v>
      </c>
      <c r="D6078" s="4" t="str">
        <f>HYPERLINK("https://12go.asia/en/travel/sirhind/jammu", "12Go Link")</f>
        <v>12Go Link</v>
      </c>
      <c r="E6078" s="3" t="s">
        <v>94</v>
      </c>
      <c r="K6078" s="5"/>
    </row>
    <row r="6079">
      <c r="A6079" s="3" t="s">
        <v>4549</v>
      </c>
      <c r="B6079" s="3" t="s">
        <v>4003</v>
      </c>
      <c r="C6079" s="3" t="s">
        <v>6185</v>
      </c>
      <c r="D6079" s="4" t="str">
        <f>HYPERLINK("https://12go.asia/en/travel/sirhind/jammu-and-kashmir", "12Go Link")</f>
        <v>12Go Link</v>
      </c>
      <c r="E6079" s="3" t="s">
        <v>94</v>
      </c>
      <c r="K6079" s="5"/>
    </row>
    <row r="6080">
      <c r="A6080" s="3" t="s">
        <v>4549</v>
      </c>
      <c r="B6080" s="3" t="s">
        <v>4005</v>
      </c>
      <c r="C6080" s="3" t="s">
        <v>6186</v>
      </c>
      <c r="D6080" s="4" t="str">
        <f>HYPERLINK("https://12go.asia/en/travel/sirhind/jammu-kashmir", "12Go Link")</f>
        <v>12Go Link</v>
      </c>
      <c r="E6080" s="3" t="s">
        <v>94</v>
      </c>
      <c r="K6080" s="5"/>
    </row>
    <row r="6081">
      <c r="A6081" s="3" t="s">
        <v>4549</v>
      </c>
      <c r="B6081" s="3" t="s">
        <v>167</v>
      </c>
      <c r="C6081" s="3" t="s">
        <v>6187</v>
      </c>
      <c r="D6081" s="4" t="str">
        <f>HYPERLINK("https://12go.asia/en/travel/sirhind-junction/mathura-jn", "12Go Link")</f>
        <v>12Go Link</v>
      </c>
      <c r="E6081" s="3" t="s">
        <v>94</v>
      </c>
      <c r="K6081" s="5"/>
    </row>
    <row r="6082">
      <c r="A6082" s="3" t="s">
        <v>4549</v>
      </c>
      <c r="B6082" s="3" t="s">
        <v>167</v>
      </c>
      <c r="C6082" s="3" t="s">
        <v>6188</v>
      </c>
      <c r="D6082" s="4" t="str">
        <f>HYPERLINK("https://12go.asia/en/travel/sirhind/mathura", "12Go Link")</f>
        <v>12Go Link</v>
      </c>
      <c r="E6082" s="3" t="s">
        <v>94</v>
      </c>
      <c r="K6082" s="5"/>
    </row>
    <row r="6083">
      <c r="A6083" s="3" t="s">
        <v>4549</v>
      </c>
      <c r="B6083" s="3" t="s">
        <v>189</v>
      </c>
      <c r="C6083" s="3" t="s">
        <v>6189</v>
      </c>
      <c r="D6083" s="4" t="str">
        <f>HYPERLINK("https://12go.asia/en/travel/sirhind/vrindavan", "12Go Link")</f>
        <v>12Go Link</v>
      </c>
      <c r="E6083" s="3" t="s">
        <v>94</v>
      </c>
      <c r="K6083" s="5"/>
    </row>
    <row r="6084">
      <c r="A6084" s="3" t="s">
        <v>6190</v>
      </c>
      <c r="B6084" s="3" t="s">
        <v>6094</v>
      </c>
      <c r="C6084" s="3" t="s">
        <v>6191</v>
      </c>
      <c r="D6084" s="4" t="str">
        <f>HYPERLINK("https://12go.asia/en/travel/sirsa/rewari", "12Go Link")</f>
        <v>12Go Link</v>
      </c>
      <c r="E6084" s="3" t="s">
        <v>94</v>
      </c>
      <c r="K6084" s="5"/>
    </row>
    <row r="6085">
      <c r="A6085" s="3" t="s">
        <v>4461</v>
      </c>
      <c r="B6085" s="3" t="s">
        <v>4530</v>
      </c>
      <c r="C6085" s="3" t="s">
        <v>6192</v>
      </c>
      <c r="D6085" s="4" t="str">
        <f>HYPERLINK("https://12go.asia/en/travel/sitamarhi-jn/muzaffarpur-junction", "12Go Link")</f>
        <v>12Go Link</v>
      </c>
      <c r="E6085" s="3" t="s">
        <v>94</v>
      </c>
      <c r="K6085" s="5"/>
    </row>
    <row r="6086">
      <c r="A6086" s="3" t="s">
        <v>6193</v>
      </c>
      <c r="B6086" s="3" t="s">
        <v>6194</v>
      </c>
      <c r="C6086" s="3" t="s">
        <v>6195</v>
      </c>
      <c r="D6086" s="4" t="str">
        <f>HYPERLINK("https://12go.asia/en/travel/sitapur/katra-vaishno-devi", "12Go Link")</f>
        <v>12Go Link</v>
      </c>
      <c r="E6086" s="3" t="s">
        <v>94</v>
      </c>
      <c r="K6086" s="5"/>
    </row>
    <row r="6087">
      <c r="A6087" s="3" t="s">
        <v>6193</v>
      </c>
      <c r="B6087" s="3" t="s">
        <v>6196</v>
      </c>
      <c r="C6087" s="3" t="s">
        <v>6197</v>
      </c>
      <c r="D6087" s="4" t="str">
        <f>HYPERLINK("https://12go.asia/en/travel/sitapur/shri-mata-vaishno", "12Go Link")</f>
        <v>12Go Link</v>
      </c>
      <c r="E6087" s="3" t="s">
        <v>94</v>
      </c>
      <c r="K6087" s="5"/>
    </row>
    <row r="6088">
      <c r="A6088" s="3" t="s">
        <v>6198</v>
      </c>
      <c r="B6088" s="3" t="s">
        <v>3715</v>
      </c>
      <c r="C6088" s="3" t="s">
        <v>6199</v>
      </c>
      <c r="D6088" s="4" t="str">
        <f>HYPERLINK("https://12go.asia/en/travel/sivaganga/chennai", "12Go Link")</f>
        <v>12Go Link</v>
      </c>
      <c r="E6088" s="3" t="s">
        <v>8</v>
      </c>
      <c r="K6088" s="5"/>
    </row>
    <row r="6089">
      <c r="A6089" s="3" t="s">
        <v>4198</v>
      </c>
      <c r="B6089" s="3" t="s">
        <v>3797</v>
      </c>
      <c r="C6089" s="3" t="s">
        <v>6200</v>
      </c>
      <c r="D6089" s="4" t="str">
        <f>HYPERLINK("https://12go.asia/en/travel/siwan-junction/asansol-junction", "12Go Link")</f>
        <v>12Go Link</v>
      </c>
      <c r="E6089" s="3" t="s">
        <v>94</v>
      </c>
      <c r="K6089" s="5"/>
    </row>
    <row r="6090">
      <c r="A6090" s="3" t="s">
        <v>4198</v>
      </c>
      <c r="B6090" s="3" t="s">
        <v>3797</v>
      </c>
      <c r="C6090" s="3" t="s">
        <v>6201</v>
      </c>
      <c r="D6090" s="4" t="str">
        <f>HYPERLINK("https://12go.asia/en/travel/siwan/asansol", "12Go Link")</f>
        <v>12Go Link</v>
      </c>
      <c r="E6090" s="3" t="s">
        <v>94</v>
      </c>
      <c r="K6090" s="5"/>
    </row>
    <row r="6091">
      <c r="A6091" s="3" t="s">
        <v>4198</v>
      </c>
      <c r="B6091" s="3" t="s">
        <v>4383</v>
      </c>
      <c r="C6091" s="3" t="s">
        <v>6202</v>
      </c>
      <c r="D6091" s="4" t="str">
        <f>HYPERLINK("https://12go.asia/en/travel/siwan-junction/chhapra", "12Go Link")</f>
        <v>12Go Link</v>
      </c>
      <c r="E6091" s="3" t="s">
        <v>94</v>
      </c>
      <c r="K6091" s="5"/>
    </row>
    <row r="6092">
      <c r="A6092" s="3" t="s">
        <v>4198</v>
      </c>
      <c r="B6092" s="3" t="s">
        <v>4383</v>
      </c>
      <c r="C6092" s="3" t="s">
        <v>6203</v>
      </c>
      <c r="D6092" s="4" t="str">
        <f>HYPERLINK("https://12go.asia/en/travel/siwan/chhapra", "12Go Link")</f>
        <v>12Go Link</v>
      </c>
      <c r="E6092" s="3" t="s">
        <v>94</v>
      </c>
      <c r="K6092" s="5"/>
    </row>
    <row r="6093">
      <c r="A6093" s="3" t="s">
        <v>4198</v>
      </c>
      <c r="B6093" s="3" t="s">
        <v>6204</v>
      </c>
      <c r="C6093" s="3" t="s">
        <v>6205</v>
      </c>
      <c r="D6093" s="4" t="str">
        <f>HYPERLINK("https://12go.asia/en/travel/siwan-junction/hajipur-junction", "12Go Link")</f>
        <v>12Go Link</v>
      </c>
      <c r="E6093" s="3" t="s">
        <v>94</v>
      </c>
      <c r="K6093" s="5"/>
    </row>
    <row r="6094">
      <c r="A6094" s="3" t="s">
        <v>4198</v>
      </c>
      <c r="B6094" s="3" t="s">
        <v>6204</v>
      </c>
      <c r="C6094" s="3" t="s">
        <v>6206</v>
      </c>
      <c r="D6094" s="4" t="str">
        <f>HYPERLINK("https://12go.asia/en/travel/siwan/hajipur", "12Go Link")</f>
        <v>12Go Link</v>
      </c>
      <c r="E6094" s="3" t="s">
        <v>94</v>
      </c>
      <c r="K6094" s="5"/>
    </row>
    <row r="6095">
      <c r="A6095" s="3" t="s">
        <v>4198</v>
      </c>
      <c r="B6095" s="3" t="s">
        <v>3701</v>
      </c>
      <c r="C6095" s="3" t="s">
        <v>6207</v>
      </c>
      <c r="D6095" s="4" t="str">
        <f>HYPERLINK("https://12go.asia/en/travel/siwan-junction/howrah", "12Go Link")</f>
        <v>12Go Link</v>
      </c>
      <c r="E6095" s="3" t="s">
        <v>94</v>
      </c>
      <c r="K6095" s="5"/>
    </row>
    <row r="6096">
      <c r="A6096" s="3" t="s">
        <v>4198</v>
      </c>
      <c r="B6096" s="3" t="s">
        <v>3701</v>
      </c>
      <c r="C6096" s="3" t="s">
        <v>6208</v>
      </c>
      <c r="D6096" s="4" t="str">
        <f>HYPERLINK("https://12go.asia/en/travel/siwan/howrah", "12Go Link")</f>
        <v>12Go Link</v>
      </c>
      <c r="E6096" s="3" t="s">
        <v>94</v>
      </c>
      <c r="K6096" s="5"/>
    </row>
    <row r="6097">
      <c r="A6097" s="3" t="s">
        <v>4198</v>
      </c>
      <c r="B6097" s="3" t="s">
        <v>4562</v>
      </c>
      <c r="C6097" s="3" t="s">
        <v>6209</v>
      </c>
      <c r="D6097" s="4" t="str">
        <f>HYPERLINK("https://12go.asia/en/travel/siwan/jharkhand", "12Go Link")</f>
        <v>12Go Link</v>
      </c>
      <c r="E6097" s="3" t="s">
        <v>94</v>
      </c>
      <c r="K6097" s="5"/>
    </row>
    <row r="6098">
      <c r="A6098" s="3" t="s">
        <v>4198</v>
      </c>
      <c r="B6098" s="3" t="s">
        <v>3994</v>
      </c>
      <c r="C6098" s="3" t="s">
        <v>6210</v>
      </c>
      <c r="D6098" s="4" t="str">
        <f>HYPERLINK("https://12go.asia/en/travel/siwan-junction/aishbagh", "12Go Link")</f>
        <v>12Go Link</v>
      </c>
      <c r="E6098" s="3" t="s">
        <v>94</v>
      </c>
      <c r="K6098" s="5"/>
    </row>
    <row r="6099">
      <c r="A6099" s="3" t="s">
        <v>4198</v>
      </c>
      <c r="B6099" s="3" t="s">
        <v>3994</v>
      </c>
      <c r="C6099" s="3" t="s">
        <v>6211</v>
      </c>
      <c r="D6099" s="4" t="str">
        <f>HYPERLINK("https://12go.asia/en/travel/siwan-junction/lucknow-ne", "12Go Link")</f>
        <v>12Go Link</v>
      </c>
      <c r="E6099" s="3" t="s">
        <v>94</v>
      </c>
      <c r="K6099" s="5"/>
    </row>
    <row r="6100">
      <c r="A6100" s="3" t="s">
        <v>4198</v>
      </c>
      <c r="B6100" s="3" t="s">
        <v>3994</v>
      </c>
      <c r="C6100" s="3" t="s">
        <v>6212</v>
      </c>
      <c r="D6100" s="4" t="str">
        <f>HYPERLINK("https://12go.asia/en/travel/siwan-junction/lucknow-nr", "12Go Link")</f>
        <v>12Go Link</v>
      </c>
      <c r="E6100" s="3" t="s">
        <v>94</v>
      </c>
      <c r="K6100" s="5"/>
    </row>
    <row r="6101">
      <c r="A6101" s="3" t="s">
        <v>4198</v>
      </c>
      <c r="B6101" s="3" t="s">
        <v>167</v>
      </c>
      <c r="C6101" s="3" t="s">
        <v>6213</v>
      </c>
      <c r="D6101" s="4" t="str">
        <f>HYPERLINK("https://12go.asia/en/travel/siwan-junction/mathura-jn", "12Go Link")</f>
        <v>12Go Link</v>
      </c>
      <c r="E6101" s="3" t="s">
        <v>94</v>
      </c>
      <c r="K6101" s="5"/>
    </row>
    <row r="6102">
      <c r="A6102" s="3" t="s">
        <v>4198</v>
      </c>
      <c r="B6102" s="3" t="s">
        <v>3842</v>
      </c>
      <c r="C6102" s="3" t="s">
        <v>6214</v>
      </c>
      <c r="D6102" s="4" t="str">
        <f>HYPERLINK("https://12go.asia/en/travel/siwan-junction/new-delhi", "12Go Link")</f>
        <v>12Go Link</v>
      </c>
      <c r="E6102" s="3" t="s">
        <v>94</v>
      </c>
      <c r="K6102" s="5"/>
    </row>
    <row r="6103">
      <c r="A6103" s="3" t="s">
        <v>4198</v>
      </c>
      <c r="B6103" s="3" t="s">
        <v>3759</v>
      </c>
      <c r="C6103" s="3" t="s">
        <v>6215</v>
      </c>
      <c r="D6103" s="4" t="str">
        <f>HYPERLINK("https://12go.asia/en/travel/siwan-junction/ranchi", "12Go Link")</f>
        <v>12Go Link</v>
      </c>
      <c r="E6103" s="3" t="s">
        <v>94</v>
      </c>
      <c r="K6103" s="5"/>
    </row>
    <row r="6104">
      <c r="A6104" s="3" t="s">
        <v>4198</v>
      </c>
      <c r="B6104" s="3" t="s">
        <v>3759</v>
      </c>
      <c r="C6104" s="3" t="s">
        <v>6216</v>
      </c>
      <c r="D6104" s="4" t="str">
        <f>HYPERLINK("https://12go.asia/en/travel/siwan/ranchi", "12Go Link")</f>
        <v>12Go Link</v>
      </c>
      <c r="E6104" s="3" t="s">
        <v>94</v>
      </c>
      <c r="K6104" s="5"/>
    </row>
    <row r="6105">
      <c r="A6105" s="3" t="s">
        <v>4198</v>
      </c>
      <c r="B6105" s="3" t="s">
        <v>4218</v>
      </c>
      <c r="C6105" s="3" t="s">
        <v>6217</v>
      </c>
      <c r="D6105" s="4" t="str">
        <f>HYPERLINK("https://12go.asia/en/travel/siwan/uttar-pradesh", "12Go Link")</f>
        <v>12Go Link</v>
      </c>
      <c r="E6105" s="3" t="s">
        <v>94</v>
      </c>
      <c r="K6105" s="5"/>
    </row>
    <row r="6106">
      <c r="A6106" s="3" t="s">
        <v>4198</v>
      </c>
      <c r="B6106" s="3" t="s">
        <v>189</v>
      </c>
      <c r="C6106" s="3" t="s">
        <v>6218</v>
      </c>
      <c r="D6106" s="4" t="str">
        <f>HYPERLINK("https://12go.asia/en/travel/siwan/vrindavan", "12Go Link")</f>
        <v>12Go Link</v>
      </c>
      <c r="E6106" s="3" t="s">
        <v>94</v>
      </c>
      <c r="K6106" s="5"/>
    </row>
    <row r="6107">
      <c r="A6107" s="3" t="s">
        <v>4631</v>
      </c>
      <c r="B6107" s="3" t="s">
        <v>148</v>
      </c>
      <c r="C6107" s="3" t="s">
        <v>6219</v>
      </c>
      <c r="D6107" s="4" t="str">
        <f>HYPERLINK("https://12go.asia/en/travel/solapur-junction/broadmeadow", "12Go Link")</f>
        <v>12Go Link</v>
      </c>
      <c r="E6107" s="3" t="s">
        <v>94</v>
      </c>
      <c r="K6107" s="5"/>
    </row>
    <row r="6108">
      <c r="A6108" s="3" t="s">
        <v>4631</v>
      </c>
      <c r="B6108" s="3" t="s">
        <v>148</v>
      </c>
      <c r="C6108" s="3" t="s">
        <v>6220</v>
      </c>
      <c r="D6108" s="4" t="str">
        <f>HYPERLINK("https://12go.asia/en/travel/solapur/newcastle-new-south-wales", "12Go Link")</f>
        <v>12Go Link</v>
      </c>
      <c r="E6108" s="3" t="s">
        <v>94</v>
      </c>
      <c r="K6108" s="5"/>
    </row>
    <row r="6109">
      <c r="A6109" s="3" t="s">
        <v>4631</v>
      </c>
      <c r="B6109" s="3" t="s">
        <v>3965</v>
      </c>
      <c r="C6109" s="3" t="s">
        <v>6221</v>
      </c>
      <c r="D6109" s="4" t="str">
        <f>HYPERLINK("https://12go.asia/en/travel/solapur-junction/ajmer-jn", "12Go Link")</f>
        <v>12Go Link</v>
      </c>
      <c r="E6109" s="3" t="s">
        <v>94</v>
      </c>
      <c r="K6109" s="5"/>
    </row>
    <row r="6110">
      <c r="A6110" s="3" t="s">
        <v>4631</v>
      </c>
      <c r="B6110" s="3" t="s">
        <v>3965</v>
      </c>
      <c r="C6110" s="3" t="s">
        <v>6222</v>
      </c>
      <c r="D6110" s="4" t="str">
        <f>HYPERLINK("https://12go.asia/en/travel/solapur/ajmer", "12Go Link")</f>
        <v>12Go Link</v>
      </c>
      <c r="E6110" s="3" t="s">
        <v>94</v>
      </c>
      <c r="K6110" s="5"/>
    </row>
    <row r="6111">
      <c r="A6111" s="3" t="s">
        <v>4631</v>
      </c>
      <c r="B6111" s="3" t="s">
        <v>3847</v>
      </c>
      <c r="C6111" s="3" t="s">
        <v>6223</v>
      </c>
      <c r="D6111" s="4" t="str">
        <f>HYPERLINK("https://12go.asia/en/travel/solapur-junction/yelahanka-junction", "12Go Link")</f>
        <v>12Go Link</v>
      </c>
      <c r="E6111" s="3" t="s">
        <v>94</v>
      </c>
      <c r="K6111" s="5"/>
    </row>
    <row r="6112">
      <c r="A6112" s="3" t="s">
        <v>4631</v>
      </c>
      <c r="B6112" s="3" t="s">
        <v>3970</v>
      </c>
      <c r="C6112" s="3" t="s">
        <v>6224</v>
      </c>
      <c r="D6112" s="4" t="str">
        <f>HYPERLINK("https://12go.asia/en/travel/solapur/navi-mumbai", "12Go Link")</f>
        <v>12Go Link</v>
      </c>
      <c r="E6112" s="3" t="s">
        <v>94</v>
      </c>
      <c r="K6112" s="5"/>
    </row>
    <row r="6113">
      <c r="A6113" s="3" t="s">
        <v>4631</v>
      </c>
      <c r="B6113" s="3" t="s">
        <v>3972</v>
      </c>
      <c r="C6113" s="3" t="s">
        <v>6225</v>
      </c>
      <c r="D6113" s="4" t="str">
        <f>HYPERLINK("https://12go.asia/en/travel/solapur/pushkar", "12Go Link")</f>
        <v>12Go Link</v>
      </c>
      <c r="E6113" s="3" t="s">
        <v>94</v>
      </c>
      <c r="K6113" s="5"/>
    </row>
    <row r="6114">
      <c r="A6114" s="3" t="s">
        <v>4631</v>
      </c>
      <c r="B6114" s="3" t="s">
        <v>4381</v>
      </c>
      <c r="C6114" s="3" t="s">
        <v>6226</v>
      </c>
      <c r="D6114" s="4" t="str">
        <f>HYPERLINK("https://12go.asia/en/travel/solapur/yelhanka", "12Go Link")</f>
        <v>12Go Link</v>
      </c>
      <c r="E6114" s="3" t="s">
        <v>94</v>
      </c>
      <c r="K6114" s="5"/>
    </row>
    <row r="6115">
      <c r="A6115" s="3" t="s">
        <v>4079</v>
      </c>
      <c r="B6115" s="3" t="s">
        <v>3898</v>
      </c>
      <c r="C6115" s="3" t="s">
        <v>6227</v>
      </c>
      <c r="D6115" s="4" t="str">
        <f>HYPERLINK("https://12go.asia/en/travel/somnath/jabalpur", "12Go Link")</f>
        <v>12Go Link</v>
      </c>
      <c r="E6115" s="3" t="s">
        <v>94</v>
      </c>
      <c r="K6115" s="5"/>
    </row>
    <row r="6116">
      <c r="A6116" s="3" t="s">
        <v>4079</v>
      </c>
      <c r="B6116" s="3" t="s">
        <v>3682</v>
      </c>
      <c r="C6116" s="3" t="s">
        <v>6228</v>
      </c>
      <c r="D6116" s="4" t="str">
        <f>HYPERLINK("https://12go.asia/en/travel/somnath/kalyan", "12Go Link")</f>
        <v>12Go Link</v>
      </c>
      <c r="E6116" s="3" t="s">
        <v>94</v>
      </c>
      <c r="K6116" s="5"/>
    </row>
    <row r="6117">
      <c r="A6117" s="3" t="s">
        <v>3605</v>
      </c>
      <c r="B6117" s="3" t="s">
        <v>3994</v>
      </c>
      <c r="C6117" s="3" t="s">
        <v>6229</v>
      </c>
      <c r="D6117" s="4" t="str">
        <f>HYPERLINK("https://12go.asia/en/travel/sonipat/lucknow-nr", "12Go Link")</f>
        <v>12Go Link</v>
      </c>
      <c r="E6117" s="3" t="s">
        <v>94</v>
      </c>
      <c r="K6117" s="5"/>
    </row>
    <row r="6118">
      <c r="A6118" s="3" t="s">
        <v>3605</v>
      </c>
      <c r="B6118" s="3" t="s">
        <v>5607</v>
      </c>
      <c r="C6118" s="3" t="s">
        <v>6230</v>
      </c>
      <c r="D6118" s="4" t="str">
        <f>HYPERLINK("https://12go.asia/en/travel/sonipat/mohali", "12Go Link")</f>
        <v>12Go Link</v>
      </c>
      <c r="E6118" s="3" t="s">
        <v>94</v>
      </c>
      <c r="K6118" s="5"/>
    </row>
    <row r="6119">
      <c r="A6119" s="3" t="s">
        <v>3605</v>
      </c>
      <c r="B6119" s="3" t="s">
        <v>5607</v>
      </c>
      <c r="C6119" s="3" t="s">
        <v>6231</v>
      </c>
      <c r="D6119" s="4" t="str">
        <f>HYPERLINK("https://12go.asia/en/travel/sonipat/sahibzada-ajeet-singh-nagar-mohali", "12Go Link")</f>
        <v>12Go Link</v>
      </c>
      <c r="E6119" s="3" t="s">
        <v>94</v>
      </c>
      <c r="K6119" s="5"/>
    </row>
    <row r="6120">
      <c r="A6120" s="3" t="s">
        <v>3605</v>
      </c>
      <c r="B6120" s="3" t="s">
        <v>3739</v>
      </c>
      <c r="C6120" s="3" t="s">
        <v>6232</v>
      </c>
      <c r="D6120" s="4" t="str">
        <f>HYPERLINK("https://12go.asia/en/travel/sonipat/mughalsarai", "12Go Link")</f>
        <v>12Go Link</v>
      </c>
      <c r="E6120" s="3" t="s">
        <v>94</v>
      </c>
      <c r="K6120" s="5"/>
    </row>
    <row r="6121">
      <c r="A6121" s="3" t="s">
        <v>3605</v>
      </c>
      <c r="B6121" s="3" t="s">
        <v>4218</v>
      </c>
      <c r="C6121" s="3" t="s">
        <v>6233</v>
      </c>
      <c r="D6121" s="4" t="str">
        <f>HYPERLINK("https://12go.asia/en/travel/sonipat/uttar-pradesh", "12Go Link")</f>
        <v>12Go Link</v>
      </c>
      <c r="E6121" s="3" t="s">
        <v>94</v>
      </c>
      <c r="K6121" s="5"/>
    </row>
    <row r="6122">
      <c r="A6122" s="3" t="s">
        <v>3605</v>
      </c>
      <c r="B6122" s="3" t="s">
        <v>3666</v>
      </c>
      <c r="C6122" s="3" t="s">
        <v>6234</v>
      </c>
      <c r="D6122" s="4" t="str">
        <f>HYPERLINK("https://12go.asia/en/travel/sonipat/mughal-sarai-junction", "12Go Link")</f>
        <v>12Go Link</v>
      </c>
      <c r="E6122" s="3" t="s">
        <v>94</v>
      </c>
      <c r="K6122" s="5"/>
    </row>
    <row r="6123">
      <c r="A6123" s="3" t="s">
        <v>3605</v>
      </c>
      <c r="B6123" s="3" t="s">
        <v>3666</v>
      </c>
      <c r="C6123" s="3" t="s">
        <v>6235</v>
      </c>
      <c r="D6123" s="4" t="str">
        <f>HYPERLINK("https://12go.asia/en/travel/sonipat/varanasi", "12Go Link")</f>
        <v>12Go Link</v>
      </c>
      <c r="E6123" s="3" t="s">
        <v>94</v>
      </c>
      <c r="K6123" s="5"/>
    </row>
    <row r="6124">
      <c r="A6124" s="3" t="s">
        <v>6236</v>
      </c>
      <c r="B6124" s="3" t="s">
        <v>3675</v>
      </c>
      <c r="C6124" s="3" t="s">
        <v>6237</v>
      </c>
      <c r="D6124" s="4" t="str">
        <f>HYPERLINK("https://12go.asia/en/travel/sonpur-junction/bareilly", "12Go Link")</f>
        <v>12Go Link</v>
      </c>
      <c r="E6124" s="3" t="s">
        <v>94</v>
      </c>
      <c r="K6124" s="5"/>
    </row>
    <row r="6125">
      <c r="A6125" s="3" t="s">
        <v>6236</v>
      </c>
      <c r="B6125" s="3" t="s">
        <v>3675</v>
      </c>
      <c r="C6125" s="3" t="s">
        <v>6238</v>
      </c>
      <c r="D6125" s="4" t="str">
        <f>HYPERLINK("https://12go.asia/en/travel/sonpur/bareilly", "12Go Link")</f>
        <v>12Go Link</v>
      </c>
      <c r="E6125" s="3" t="s">
        <v>94</v>
      </c>
      <c r="K6125" s="5"/>
    </row>
    <row r="6126">
      <c r="A6126" s="3" t="s">
        <v>6236</v>
      </c>
      <c r="B6126" s="3" t="s">
        <v>4164</v>
      </c>
      <c r="C6126" s="3" t="s">
        <v>6239</v>
      </c>
      <c r="D6126" s="4" t="str">
        <f>HYPERLINK("https://12go.asia/en/travel/sonpur-junction/jaynagar", "12Go Link")</f>
        <v>12Go Link</v>
      </c>
      <c r="E6126" s="3" t="s">
        <v>94</v>
      </c>
      <c r="K6126" s="5"/>
    </row>
    <row r="6127">
      <c r="A6127" s="3" t="s">
        <v>6236</v>
      </c>
      <c r="B6127" s="3" t="s">
        <v>4164</v>
      </c>
      <c r="C6127" s="3" t="s">
        <v>6240</v>
      </c>
      <c r="D6127" s="4" t="str">
        <f>HYPERLINK("https://12go.asia/en/travel/sonpur/jainagar-bihar", "12Go Link")</f>
        <v>12Go Link</v>
      </c>
      <c r="E6127" s="3" t="s">
        <v>94</v>
      </c>
      <c r="K6127" s="5"/>
    </row>
    <row r="6128">
      <c r="A6128" s="3" t="s">
        <v>6236</v>
      </c>
      <c r="B6128" s="3" t="s">
        <v>3752</v>
      </c>
      <c r="C6128" s="3" t="s">
        <v>6241</v>
      </c>
      <c r="D6128" s="4" t="str">
        <f>HYPERLINK("https://12go.asia/en/travel/sonpur/prayagraj", "12Go Link")</f>
        <v>12Go Link</v>
      </c>
      <c r="E6128" s="3" t="s">
        <v>94</v>
      </c>
      <c r="K6128" s="5"/>
    </row>
    <row r="6129">
      <c r="A6129" s="3" t="s">
        <v>6242</v>
      </c>
      <c r="B6129" s="3" t="s">
        <v>6073</v>
      </c>
      <c r="C6129" s="3" t="s">
        <v>6243</v>
      </c>
      <c r="D6129" s="4" t="str">
        <f>HYPERLINK("https://12go.asia/en/travel/shri-ganganagar/patiala", "12Go Link")</f>
        <v>12Go Link</v>
      </c>
      <c r="E6129" s="3" t="s">
        <v>94</v>
      </c>
      <c r="K6129" s="5"/>
    </row>
    <row r="6130">
      <c r="A6130" s="3" t="s">
        <v>6242</v>
      </c>
      <c r="B6130" s="3" t="s">
        <v>6073</v>
      </c>
      <c r="C6130" s="3" t="s">
        <v>6244</v>
      </c>
      <c r="D6130" s="4" t="str">
        <f>HYPERLINK("https://12go.asia/en/travel/sri-ganganagar/patiala", "12Go Link")</f>
        <v>12Go Link</v>
      </c>
      <c r="E6130" s="3" t="s">
        <v>94</v>
      </c>
      <c r="K6130" s="5"/>
    </row>
    <row r="6131">
      <c r="A6131" s="3" t="s">
        <v>3767</v>
      </c>
      <c r="B6131" s="3" t="s">
        <v>3782</v>
      </c>
      <c r="C6131" s="3" t="s">
        <v>6245</v>
      </c>
      <c r="D6131" s="4" t="str">
        <f>HYPERLINK("https://12go.asia/en/travel/sri-kalahasti/warangal", "12Go Link")</f>
        <v>12Go Link</v>
      </c>
      <c r="E6131" s="3" t="s">
        <v>94</v>
      </c>
      <c r="K6131" s="5"/>
    </row>
    <row r="6132">
      <c r="A6132" s="3" t="s">
        <v>3767</v>
      </c>
      <c r="B6132" s="3" t="s">
        <v>3782</v>
      </c>
      <c r="C6132" s="3" t="s">
        <v>6246</v>
      </c>
      <c r="D6132" s="4" t="str">
        <f>HYPERLINK("https://12go.asia/en/travel/srikalahasti/warangal", "12Go Link")</f>
        <v>12Go Link</v>
      </c>
      <c r="E6132" s="3" t="s">
        <v>94</v>
      </c>
      <c r="K6132" s="5"/>
    </row>
    <row r="6133">
      <c r="A6133" s="3" t="s">
        <v>5058</v>
      </c>
      <c r="B6133" s="3" t="s">
        <v>3647</v>
      </c>
      <c r="C6133" s="3" t="s">
        <v>6247</v>
      </c>
      <c r="D6133" s="4" t="str">
        <f>HYPERLINK("https://12go.asia/en/travel/sultanganj/delhi", "12Go Link")</f>
        <v>12Go Link</v>
      </c>
      <c r="E6133" s="3" t="s">
        <v>94</v>
      </c>
      <c r="K6133" s="5"/>
    </row>
    <row r="6134">
      <c r="A6134" s="3" t="s">
        <v>180</v>
      </c>
      <c r="B6134" s="3" t="s">
        <v>3647</v>
      </c>
      <c r="C6134" s="3" t="s">
        <v>6248</v>
      </c>
      <c r="D6134" s="4" t="str">
        <f>HYPERLINK("https://12go.asia/en/travel/surat/delhi-safdarjung", "12Go Link")</f>
        <v>12Go Link</v>
      </c>
      <c r="E6134" s="3" t="s">
        <v>94</v>
      </c>
      <c r="K6134" s="5"/>
    </row>
    <row r="6135">
      <c r="A6135" s="3" t="s">
        <v>180</v>
      </c>
      <c r="B6135" s="3" t="s">
        <v>155</v>
      </c>
      <c r="C6135" s="3" t="s">
        <v>6249</v>
      </c>
      <c r="D6135" s="4" t="str">
        <f>HYPERLINK("https://12go.asia/en/travel/surat/botad-junction", "12Go Link")</f>
        <v>12Go Link</v>
      </c>
      <c r="E6135" s="3" t="s">
        <v>94</v>
      </c>
      <c r="K6135" s="5"/>
    </row>
    <row r="6136">
      <c r="A6136" s="3" t="s">
        <v>180</v>
      </c>
      <c r="B6136" s="3" t="s">
        <v>3752</v>
      </c>
      <c r="C6136" s="3" t="s">
        <v>6250</v>
      </c>
      <c r="D6136" s="4" t="str">
        <f>HYPERLINK("https://12go.asia/en/travel/surat/prayagraj-cheoki-jn", "12Go Link")</f>
        <v>12Go Link</v>
      </c>
      <c r="E6136" s="3" t="s">
        <v>94</v>
      </c>
      <c r="K6136" s="5"/>
    </row>
    <row r="6137">
      <c r="A6137" s="3" t="s">
        <v>180</v>
      </c>
      <c r="B6137" s="3" t="s">
        <v>4772</v>
      </c>
      <c r="C6137" s="3" t="s">
        <v>6251</v>
      </c>
      <c r="D6137" s="4" t="str">
        <f>HYPERLINK("https://12go.asia/en/travel/surat/satna", "12Go Link")</f>
        <v>12Go Link</v>
      </c>
      <c r="E6137" s="3" t="s">
        <v>94</v>
      </c>
      <c r="K6137" s="5"/>
    </row>
    <row r="6138">
      <c r="A6138" s="3" t="s">
        <v>6252</v>
      </c>
      <c r="B6138" s="3" t="s">
        <v>4384</v>
      </c>
      <c r="C6138" s="3" t="s">
        <v>6253</v>
      </c>
      <c r="D6138" s="4" t="str">
        <f>HYPERLINK("https://12go.asia/en/travel/suratgarh/gorakhpur", "12Go Link")</f>
        <v>12Go Link</v>
      </c>
      <c r="E6138" s="3" t="s">
        <v>94</v>
      </c>
      <c r="K6138" s="5"/>
    </row>
    <row r="6139">
      <c r="A6139" s="3" t="s">
        <v>3771</v>
      </c>
      <c r="B6139" s="3" t="s">
        <v>3605</v>
      </c>
      <c r="C6139" s="3" t="s">
        <v>6254</v>
      </c>
      <c r="D6139" s="4" t="str">
        <f>HYPERLINK("https://12go.asia/en/travel/taj-mahal/sonipat", "12Go Link")</f>
        <v>12Go Link</v>
      </c>
      <c r="E6139" s="3" t="s">
        <v>94</v>
      </c>
      <c r="K6139" s="5"/>
    </row>
    <row r="6140">
      <c r="A6140" s="3" t="s">
        <v>3773</v>
      </c>
      <c r="B6140" s="3" t="s">
        <v>4314</v>
      </c>
      <c r="C6140" s="3" t="s">
        <v>6255</v>
      </c>
      <c r="D6140" s="4" t="str">
        <f>HYPERLINK("https://12go.asia/en/travel/tambaram/chengalpattu", "12Go Link")</f>
        <v>12Go Link</v>
      </c>
      <c r="E6140" s="3" t="s">
        <v>94</v>
      </c>
      <c r="K6140" s="5"/>
    </row>
    <row r="6141">
      <c r="A6141" s="3" t="s">
        <v>3773</v>
      </c>
      <c r="B6141" s="3" t="s">
        <v>3638</v>
      </c>
      <c r="C6141" s="3" t="s">
        <v>6256</v>
      </c>
      <c r="D6141" s="4" t="str">
        <f>HYPERLINK("https://12go.asia/en/travel/tambaram/secunderabad", "12Go Link")</f>
        <v>12Go Link</v>
      </c>
      <c r="E6141" s="3" t="s">
        <v>94</v>
      </c>
      <c r="K6141" s="5"/>
    </row>
    <row r="6142">
      <c r="A6142" s="3" t="s">
        <v>3773</v>
      </c>
      <c r="B6142" s="3" t="s">
        <v>5250</v>
      </c>
      <c r="C6142" s="3" t="s">
        <v>6257</v>
      </c>
      <c r="D6142" s="4" t="str">
        <f>HYPERLINK("https://12go.asia/en/travel/tambaram/thanjavur", "12Go Link")</f>
        <v>12Go Link</v>
      </c>
      <c r="E6142" s="3" t="s">
        <v>94</v>
      </c>
      <c r="K6142" s="5"/>
    </row>
    <row r="6143">
      <c r="A6143" s="3" t="s">
        <v>4837</v>
      </c>
      <c r="B6143" s="3" t="s">
        <v>3994</v>
      </c>
      <c r="C6143" s="3" t="s">
        <v>6258</v>
      </c>
      <c r="D6143" s="4" t="str">
        <f>HYPERLINK("https://12go.asia/en/travel/tanakpur/lucknow", "12Go Link")</f>
        <v>12Go Link</v>
      </c>
      <c r="E6143" s="3" t="s">
        <v>94</v>
      </c>
      <c r="K6143" s="5"/>
    </row>
    <row r="6144">
      <c r="A6144" s="3" t="s">
        <v>4837</v>
      </c>
      <c r="B6144" s="3" t="s">
        <v>3994</v>
      </c>
      <c r="C6144" s="3" t="s">
        <v>6259</v>
      </c>
      <c r="D6144" s="4" t="str">
        <f>HYPERLINK("https://12go.asia/en/travel/tanakpur/lucknow-nr", "12Go Link")</f>
        <v>12Go Link</v>
      </c>
      <c r="E6144" s="3" t="s">
        <v>94</v>
      </c>
      <c r="K6144" s="5"/>
    </row>
    <row r="6145">
      <c r="A6145" s="3" t="s">
        <v>3924</v>
      </c>
      <c r="B6145" s="3" t="s">
        <v>3647</v>
      </c>
      <c r="C6145" s="3" t="s">
        <v>6260</v>
      </c>
      <c r="D6145" s="4" t="str">
        <f>HYPERLINK("https://12go.asia/en/travel/tatanagar/sabzi-mandi", "12Go Link")</f>
        <v>12Go Link</v>
      </c>
      <c r="E6145" s="3" t="s">
        <v>94</v>
      </c>
      <c r="K6145" s="5"/>
    </row>
    <row r="6146">
      <c r="A6146" s="3" t="s">
        <v>3924</v>
      </c>
      <c r="B6146" s="3" t="s">
        <v>3919</v>
      </c>
      <c r="C6146" s="3" t="s">
        <v>6261</v>
      </c>
      <c r="D6146" s="4" t="str">
        <f>HYPERLINK("https://12go.asia/en/travel/tatanagar/pune", "12Go Link")</f>
        <v>12Go Link</v>
      </c>
      <c r="E6146" s="3" t="s">
        <v>94</v>
      </c>
      <c r="K6146" s="5"/>
    </row>
    <row r="6147">
      <c r="A6147" s="3" t="s">
        <v>3924</v>
      </c>
      <c r="B6147" s="3" t="s">
        <v>3919</v>
      </c>
      <c r="C6147" s="3" t="s">
        <v>6262</v>
      </c>
      <c r="D6147" s="4" t="str">
        <f>HYPERLINK("https://12go.asia/en/travel/tatanagar/pune-jn", "12Go Link")</f>
        <v>12Go Link</v>
      </c>
      <c r="E6147" s="3" t="s">
        <v>94</v>
      </c>
      <c r="K6147" s="5"/>
    </row>
    <row r="6148">
      <c r="A6148" s="3" t="s">
        <v>4143</v>
      </c>
      <c r="B6148" s="3" t="s">
        <v>3581</v>
      </c>
      <c r="C6148" s="3" t="s">
        <v>6263</v>
      </c>
      <c r="D6148" s="4" t="str">
        <f>HYPERLINK("https://12go.asia/en/travel/telangana/adoni", "12Go Link")</f>
        <v>12Go Link</v>
      </c>
      <c r="E6148" s="3" t="s">
        <v>94</v>
      </c>
      <c r="K6148" s="5"/>
    </row>
    <row r="6149">
      <c r="A6149" s="3" t="s">
        <v>4143</v>
      </c>
      <c r="B6149" s="3" t="s">
        <v>3668</v>
      </c>
      <c r="C6149" s="3" t="s">
        <v>6264</v>
      </c>
      <c r="D6149" s="4" t="str">
        <f>HYPERLINK("https://12go.asia/en/travel/telangana/amravati", "12Go Link")</f>
        <v>12Go Link</v>
      </c>
      <c r="E6149" s="3" t="s">
        <v>94</v>
      </c>
      <c r="K6149" s="5"/>
    </row>
    <row r="6150">
      <c r="A6150" s="3" t="s">
        <v>4143</v>
      </c>
      <c r="B6150" s="3" t="s">
        <v>4814</v>
      </c>
      <c r="C6150" s="3" t="s">
        <v>6265</v>
      </c>
      <c r="D6150" s="4" t="str">
        <f>HYPERLINK("https://12go.asia/en/travel/telangana/annavaram", "12Go Link")</f>
        <v>12Go Link</v>
      </c>
      <c r="E6150" s="3" t="s">
        <v>94</v>
      </c>
      <c r="K6150" s="5"/>
    </row>
    <row r="6151">
      <c r="A6151" s="3" t="s">
        <v>4143</v>
      </c>
      <c r="B6151" s="3" t="s">
        <v>3617</v>
      </c>
      <c r="C6151" s="3" t="s">
        <v>6266</v>
      </c>
      <c r="D6151" s="4" t="str">
        <f>HYPERLINK("https://12go.asia/en/travel/telangana/badnera", "12Go Link")</f>
        <v>12Go Link</v>
      </c>
      <c r="E6151" s="3" t="s">
        <v>94</v>
      </c>
      <c r="K6151" s="5"/>
    </row>
    <row r="6152">
      <c r="A6152" s="3" t="s">
        <v>4143</v>
      </c>
      <c r="B6152" s="3" t="s">
        <v>6267</v>
      </c>
      <c r="C6152" s="3" t="s">
        <v>6268</v>
      </c>
      <c r="D6152" s="4" t="str">
        <f>HYPERLINK("https://12go.asia/en/travel/telangana/bhongir", "12Go Link")</f>
        <v>12Go Link</v>
      </c>
      <c r="E6152" s="3" t="s">
        <v>94</v>
      </c>
      <c r="K6152" s="5"/>
    </row>
    <row r="6153">
      <c r="A6153" s="3" t="s">
        <v>4143</v>
      </c>
      <c r="B6153" s="3" t="s">
        <v>3862</v>
      </c>
      <c r="C6153" s="3" t="s">
        <v>6269</v>
      </c>
      <c r="D6153" s="4" t="str">
        <f>HYPERLINK("https://12go.asia/en/travel/telangana/bidar", "12Go Link")</f>
        <v>12Go Link</v>
      </c>
      <c r="E6153" s="3" t="s">
        <v>94</v>
      </c>
      <c r="K6153" s="5"/>
    </row>
    <row r="6154">
      <c r="A6154" s="3" t="s">
        <v>4143</v>
      </c>
      <c r="B6154" s="3" t="s">
        <v>4154</v>
      </c>
      <c r="C6154" s="3" t="s">
        <v>6270</v>
      </c>
      <c r="D6154" s="4" t="str">
        <f>HYPERLINK("https://12go.asia/en/travel/telangana/bilaspur", "12Go Link")</f>
        <v>12Go Link</v>
      </c>
      <c r="E6154" s="3" t="s">
        <v>94</v>
      </c>
      <c r="K6154" s="5"/>
    </row>
    <row r="6155">
      <c r="A6155" s="3" t="s">
        <v>4143</v>
      </c>
      <c r="B6155" s="3" t="s">
        <v>3866</v>
      </c>
      <c r="C6155" s="3" t="s">
        <v>6271</v>
      </c>
      <c r="D6155" s="4" t="str">
        <f>HYPERLINK("https://12go.asia/en/travel/telangana/brahmapur", "12Go Link")</f>
        <v>12Go Link</v>
      </c>
      <c r="E6155" s="3" t="s">
        <v>94</v>
      </c>
      <c r="K6155" s="5"/>
    </row>
    <row r="6156">
      <c r="A6156" s="3" t="s">
        <v>4143</v>
      </c>
      <c r="B6156" s="3" t="s">
        <v>4309</v>
      </c>
      <c r="C6156" s="3" t="s">
        <v>6272</v>
      </c>
      <c r="D6156" s="4" t="str">
        <f>HYPERLINK("https://12go.asia/en/travel/telangana/changanaseri", "12Go Link")</f>
        <v>12Go Link</v>
      </c>
      <c r="E6156" s="3" t="s">
        <v>94</v>
      </c>
      <c r="K6156" s="5"/>
    </row>
    <row r="6157">
      <c r="A6157" s="3" t="s">
        <v>4143</v>
      </c>
      <c r="B6157" s="3" t="s">
        <v>4433</v>
      </c>
      <c r="C6157" s="3" t="s">
        <v>6273</v>
      </c>
      <c r="D6157" s="4" t="str">
        <f>HYPERLINK("https://12go.asia/en/travel/telangana/churu", "12Go Link")</f>
        <v>12Go Link</v>
      </c>
      <c r="E6157" s="3" t="s">
        <v>94</v>
      </c>
      <c r="K6157" s="5"/>
    </row>
    <row r="6158">
      <c r="A6158" s="3" t="s">
        <v>4143</v>
      </c>
      <c r="B6158" s="3" t="s">
        <v>5179</v>
      </c>
      <c r="C6158" s="3" t="s">
        <v>6274</v>
      </c>
      <c r="D6158" s="4" t="str">
        <f>HYPERLINK("https://12go.asia/en/travel/telangana/dharmavaram", "12Go Link")</f>
        <v>12Go Link</v>
      </c>
      <c r="E6158" s="3" t="s">
        <v>94</v>
      </c>
      <c r="K6158" s="5"/>
    </row>
    <row r="6159">
      <c r="A6159" s="3" t="s">
        <v>4143</v>
      </c>
      <c r="B6159" s="3" t="s">
        <v>4658</v>
      </c>
      <c r="C6159" s="3" t="s">
        <v>6275</v>
      </c>
      <c r="D6159" s="4" t="str">
        <f>HYPERLINK("https://12go.asia/en/travel/telangana/faridabad", "12Go Link")</f>
        <v>12Go Link</v>
      </c>
      <c r="E6159" s="3" t="s">
        <v>94</v>
      </c>
      <c r="K6159" s="5"/>
    </row>
    <row r="6160">
      <c r="A6160" s="3" t="s">
        <v>4143</v>
      </c>
      <c r="B6160" s="3" t="s">
        <v>3887</v>
      </c>
      <c r="C6160" s="3" t="s">
        <v>6276</v>
      </c>
      <c r="D6160" s="4" t="str">
        <f>HYPERLINK("https://12go.asia/en/travel/telangana/ganagapur-road", "12Go Link")</f>
        <v>12Go Link</v>
      </c>
      <c r="E6160" s="3" t="s">
        <v>94</v>
      </c>
      <c r="K6160" s="5"/>
    </row>
    <row r="6161">
      <c r="A6161" s="3" t="s">
        <v>4143</v>
      </c>
      <c r="B6161" s="3" t="s">
        <v>152</v>
      </c>
      <c r="C6161" s="3" t="s">
        <v>6277</v>
      </c>
      <c r="D6161" s="4" t="str">
        <f>HYPERLINK("https://12go.asia/en/travel/telangana/gooty", "12Go Link")</f>
        <v>12Go Link</v>
      </c>
      <c r="E6161" s="3" t="s">
        <v>94</v>
      </c>
      <c r="K6161" s="5"/>
    </row>
    <row r="6162">
      <c r="A6162" s="3" t="s">
        <v>4143</v>
      </c>
      <c r="B6162" s="3" t="s">
        <v>4947</v>
      </c>
      <c r="C6162" s="3" t="s">
        <v>6278</v>
      </c>
      <c r="D6162" s="4" t="str">
        <f>HYPERLINK("https://12go.asia/en/travel/telangana/hindupur", "12Go Link")</f>
        <v>12Go Link</v>
      </c>
      <c r="E6162" s="3" t="s">
        <v>94</v>
      </c>
      <c r="K6162" s="5"/>
    </row>
    <row r="6163">
      <c r="A6163" s="3" t="s">
        <v>4143</v>
      </c>
      <c r="B6163" s="3" t="s">
        <v>4949</v>
      </c>
      <c r="C6163" s="3" t="s">
        <v>6279</v>
      </c>
      <c r="D6163" s="4" t="str">
        <f>HYPERLINK("https://12go.asia/en/travel/telangana/jalna", "12Go Link")</f>
        <v>12Go Link</v>
      </c>
      <c r="E6163" s="3" t="s">
        <v>94</v>
      </c>
      <c r="K6163" s="5"/>
    </row>
    <row r="6164">
      <c r="A6164" s="3" t="s">
        <v>4143</v>
      </c>
      <c r="B6164" s="3" t="s">
        <v>4954</v>
      </c>
      <c r="C6164" s="3" t="s">
        <v>6280</v>
      </c>
      <c r="D6164" s="4" t="str">
        <f>HYPERLINK("https://12go.asia/en/travel/telangana/kagaznagar", "12Go Link")</f>
        <v>12Go Link</v>
      </c>
      <c r="E6164" s="3" t="s">
        <v>94</v>
      </c>
      <c r="K6164" s="5"/>
    </row>
    <row r="6165">
      <c r="A6165" s="3" t="s">
        <v>4143</v>
      </c>
      <c r="B6165" s="3" t="s">
        <v>5398</v>
      </c>
      <c r="C6165" s="3" t="s">
        <v>6281</v>
      </c>
      <c r="D6165" s="4" t="str">
        <f>HYPERLINK("https://12go.asia/en/travel/telangana/kanyakumari", "12Go Link")</f>
        <v>12Go Link</v>
      </c>
      <c r="E6165" s="3" t="s">
        <v>8</v>
      </c>
      <c r="K6165" s="5"/>
    </row>
    <row r="6166">
      <c r="A6166" s="3" t="s">
        <v>4143</v>
      </c>
      <c r="B6166" s="3" t="s">
        <v>3906</v>
      </c>
      <c r="C6166" s="3" t="s">
        <v>6282</v>
      </c>
      <c r="D6166" s="4" t="str">
        <f t="shared" ref="D6166:D6167" si="374">HYPERLINK("https://12go.asia/en/travel/telangana/karur", "12Go Link")</f>
        <v>12Go Link</v>
      </c>
      <c r="E6166" s="3" t="s">
        <v>8</v>
      </c>
      <c r="K6166" s="5"/>
    </row>
    <row r="6167">
      <c r="A6167" s="3" t="s">
        <v>4143</v>
      </c>
      <c r="B6167" s="3" t="s">
        <v>3906</v>
      </c>
      <c r="C6167" s="3" t="s">
        <v>6282</v>
      </c>
      <c r="D6167" s="4" t="str">
        <f t="shared" si="374"/>
        <v>12Go Link</v>
      </c>
      <c r="E6167" s="3" t="s">
        <v>8</v>
      </c>
      <c r="K6167" s="5"/>
    </row>
    <row r="6168">
      <c r="A6168" s="3" t="s">
        <v>4143</v>
      </c>
      <c r="B6168" s="3" t="s">
        <v>5462</v>
      </c>
      <c r="C6168" s="3" t="s">
        <v>6283</v>
      </c>
      <c r="D6168" s="4" t="str">
        <f>HYPERLINK("https://12go.asia/en/travel/telangana/kasibugga", "12Go Link")</f>
        <v>12Go Link</v>
      </c>
      <c r="E6168" s="3" t="s">
        <v>94</v>
      </c>
      <c r="K6168" s="5"/>
    </row>
    <row r="6169">
      <c r="A6169" s="3" t="s">
        <v>4143</v>
      </c>
      <c r="B6169" s="3" t="s">
        <v>5194</v>
      </c>
      <c r="C6169" s="3" t="s">
        <v>6284</v>
      </c>
      <c r="D6169" s="4" t="str">
        <f>HYPERLINK("https://12go.asia/en/travel/telangana/kayamkulam", "12Go Link")</f>
        <v>12Go Link</v>
      </c>
      <c r="E6169" s="3" t="s">
        <v>94</v>
      </c>
      <c r="K6169" s="5"/>
    </row>
    <row r="6170">
      <c r="A6170" s="3" t="s">
        <v>4143</v>
      </c>
      <c r="B6170" s="3" t="s">
        <v>4961</v>
      </c>
      <c r="C6170" s="3" t="s">
        <v>6285</v>
      </c>
      <c r="D6170" s="4" t="str">
        <f>HYPERLINK("https://12go.asia/en/travel/telangana/kharagpur", "12Go Link")</f>
        <v>12Go Link</v>
      </c>
      <c r="E6170" s="3" t="s">
        <v>94</v>
      </c>
      <c r="K6170" s="5"/>
    </row>
    <row r="6171">
      <c r="A6171" s="3" t="s">
        <v>4143</v>
      </c>
      <c r="B6171" s="3" t="s">
        <v>4322</v>
      </c>
      <c r="C6171" s="3" t="s">
        <v>6286</v>
      </c>
      <c r="D6171" s="4" t="str">
        <f>HYPERLINK("https://12go.asia/en/travel/telangana/kottayam", "12Go Link")</f>
        <v>12Go Link</v>
      </c>
      <c r="E6171" s="3" t="s">
        <v>94</v>
      </c>
      <c r="K6171" s="5"/>
    </row>
    <row r="6172">
      <c r="A6172" s="3" t="s">
        <v>4143</v>
      </c>
      <c r="B6172" s="3" t="s">
        <v>3736</v>
      </c>
      <c r="C6172" s="3" t="s">
        <v>6287</v>
      </c>
      <c r="D6172" s="4" t="str">
        <f>HYPERLINK("https://12go.asia/en/travel/telangana/machilipatnam", "12Go Link")</f>
        <v>12Go Link</v>
      </c>
      <c r="E6172" s="3" t="s">
        <v>94</v>
      </c>
      <c r="K6172" s="5"/>
    </row>
    <row r="6173">
      <c r="A6173" s="3" t="s">
        <v>4143</v>
      </c>
      <c r="B6173" s="3" t="s">
        <v>6288</v>
      </c>
      <c r="C6173" s="3" t="s">
        <v>6289</v>
      </c>
      <c r="D6173" s="4" t="str">
        <f>HYPERLINK("https://12go.asia/en/travel/telangana/mahbubnagar", "12Go Link")</f>
        <v>12Go Link</v>
      </c>
      <c r="E6173" s="3" t="s">
        <v>94</v>
      </c>
      <c r="K6173" s="5"/>
    </row>
    <row r="6174">
      <c r="A6174" s="3" t="s">
        <v>4143</v>
      </c>
      <c r="B6174" s="3" t="s">
        <v>6290</v>
      </c>
      <c r="C6174" s="3" t="s">
        <v>6291</v>
      </c>
      <c r="D6174" s="4" t="str">
        <f>HYPERLINK("https://12go.asia/en/travel/telangana/mantralayam", "12Go Link")</f>
        <v>12Go Link</v>
      </c>
      <c r="E6174" s="3" t="s">
        <v>94</v>
      </c>
      <c r="K6174" s="5"/>
    </row>
    <row r="6175">
      <c r="A6175" s="3" t="s">
        <v>4143</v>
      </c>
      <c r="B6175" s="3" t="s">
        <v>167</v>
      </c>
      <c r="C6175" s="3" t="s">
        <v>6292</v>
      </c>
      <c r="D6175" s="4" t="str">
        <f>HYPERLINK("https://12go.asia/en/travel/telangana/mathura", "12Go Link")</f>
        <v>12Go Link</v>
      </c>
      <c r="E6175" s="3" t="s">
        <v>94</v>
      </c>
      <c r="K6175" s="5"/>
    </row>
    <row r="6176">
      <c r="A6176" s="3" t="s">
        <v>4143</v>
      </c>
      <c r="B6176" s="3" t="s">
        <v>5474</v>
      </c>
      <c r="C6176" s="3" t="s">
        <v>6293</v>
      </c>
      <c r="D6176" s="4" t="str">
        <f>HYPERLINK("https://12go.asia/en/travel/telangana/miryalaguda", "12Go Link")</f>
        <v>12Go Link</v>
      </c>
      <c r="E6176" s="3" t="s">
        <v>94</v>
      </c>
      <c r="K6176" s="5"/>
    </row>
    <row r="6177">
      <c r="A6177" s="3" t="s">
        <v>4143</v>
      </c>
      <c r="B6177" s="3" t="s">
        <v>6294</v>
      </c>
      <c r="C6177" s="3" t="s">
        <v>6295</v>
      </c>
      <c r="D6177" s="4" t="str">
        <f>HYPERLINK("https://12go.asia/en/travel/telangana/naidupeta", "12Go Link")</f>
        <v>12Go Link</v>
      </c>
      <c r="E6177" s="3" t="s">
        <v>94</v>
      </c>
      <c r="K6177" s="5"/>
    </row>
    <row r="6178">
      <c r="A6178" s="3" t="s">
        <v>4143</v>
      </c>
      <c r="B6178" s="3" t="s">
        <v>4965</v>
      </c>
      <c r="C6178" s="3" t="s">
        <v>6296</v>
      </c>
      <c r="D6178" s="4" t="str">
        <f>HYPERLINK("https://12go.asia/en/travel/telangana/narasapuram", "12Go Link")</f>
        <v>12Go Link</v>
      </c>
      <c r="E6178" s="3" t="s">
        <v>94</v>
      </c>
      <c r="K6178" s="5"/>
    </row>
    <row r="6179">
      <c r="A6179" s="3" t="s">
        <v>4143</v>
      </c>
      <c r="B6179" s="3" t="s">
        <v>4971</v>
      </c>
      <c r="C6179" s="3" t="s">
        <v>6297</v>
      </c>
      <c r="D6179" s="4" t="str">
        <f>HYPERLINK("https://12go.asia/en/travel/telangana/parbhani", "12Go Link")</f>
        <v>12Go Link</v>
      </c>
      <c r="E6179" s="3" t="s">
        <v>94</v>
      </c>
      <c r="K6179" s="5"/>
    </row>
    <row r="6180">
      <c r="A6180" s="3" t="s">
        <v>4143</v>
      </c>
      <c r="B6180" s="3" t="s">
        <v>4974</v>
      </c>
      <c r="C6180" s="3" t="s">
        <v>6298</v>
      </c>
      <c r="D6180" s="4" t="str">
        <f>HYPERLINK("https://12go.asia/en/travel/telangana/parli-vaijnath", "12Go Link")</f>
        <v>12Go Link</v>
      </c>
      <c r="E6180" s="3" t="s">
        <v>94</v>
      </c>
      <c r="K6180" s="5"/>
    </row>
    <row r="6181">
      <c r="A6181" s="3" t="s">
        <v>4143</v>
      </c>
      <c r="B6181" s="3" t="s">
        <v>4976</v>
      </c>
      <c r="C6181" s="3" t="s">
        <v>6299</v>
      </c>
      <c r="D6181" s="4" t="str">
        <f>HYPERLINK("https://12go.asia/en/travel/telangana/peddapalli", "12Go Link")</f>
        <v>12Go Link</v>
      </c>
      <c r="E6181" s="3" t="s">
        <v>94</v>
      </c>
      <c r="K6181" s="5"/>
    </row>
    <row r="6182">
      <c r="A6182" s="3" t="s">
        <v>4143</v>
      </c>
      <c r="B6182" s="3" t="s">
        <v>5492</v>
      </c>
      <c r="C6182" s="3" t="s">
        <v>6300</v>
      </c>
      <c r="D6182" s="4" t="str">
        <f>HYPERLINK("https://12go.asia/en/travel/telangana/pithapuram", "12Go Link")</f>
        <v>12Go Link</v>
      </c>
      <c r="E6182" s="3" t="s">
        <v>94</v>
      </c>
      <c r="K6182" s="5"/>
    </row>
    <row r="6183">
      <c r="A6183" s="3" t="s">
        <v>4143</v>
      </c>
      <c r="B6183" s="3" t="s">
        <v>4984</v>
      </c>
      <c r="C6183" s="3" t="s">
        <v>6301</v>
      </c>
      <c r="D6183" s="4" t="str">
        <f>HYPERLINK("https://12go.asia/en/travel/telangana/sattenapalle", "12Go Link")</f>
        <v>12Go Link</v>
      </c>
      <c r="E6183" s="3" t="s">
        <v>94</v>
      </c>
      <c r="K6183" s="5"/>
    </row>
    <row r="6184">
      <c r="A6184" s="3" t="s">
        <v>4143</v>
      </c>
      <c r="B6184" s="3" t="s">
        <v>5497</v>
      </c>
      <c r="C6184" s="3" t="s">
        <v>6302</v>
      </c>
      <c r="D6184" s="4" t="str">
        <f>HYPERLINK("https://12go.asia/en/travel/telangana/singarayakonda", "12Go Link")</f>
        <v>12Go Link</v>
      </c>
      <c r="E6184" s="3" t="s">
        <v>94</v>
      </c>
      <c r="K6184" s="5"/>
    </row>
    <row r="6185">
      <c r="A6185" s="3" t="s">
        <v>4143</v>
      </c>
      <c r="B6185" s="3" t="s">
        <v>6303</v>
      </c>
      <c r="C6185" s="3" t="s">
        <v>6304</v>
      </c>
      <c r="D6185" s="4" t="str">
        <f>HYPERLINK("https://12go.asia/en/travel/telangana/tadipatri", "12Go Link")</f>
        <v>12Go Link</v>
      </c>
      <c r="E6185" s="3" t="s">
        <v>94</v>
      </c>
      <c r="K6185" s="5"/>
    </row>
    <row r="6186">
      <c r="A6186" s="3" t="s">
        <v>4143</v>
      </c>
      <c r="B6186" s="3" t="s">
        <v>4996</v>
      </c>
      <c r="C6186" s="3" t="s">
        <v>6305</v>
      </c>
      <c r="D6186" s="4" t="str">
        <f>HYPERLINK("https://12go.asia/en/travel/telangana/vikarabad", "12Go Link")</f>
        <v>12Go Link</v>
      </c>
      <c r="E6186" s="3" t="s">
        <v>94</v>
      </c>
      <c r="K6186" s="5"/>
    </row>
    <row r="6187">
      <c r="A6187" s="3" t="s">
        <v>4143</v>
      </c>
      <c r="B6187" s="3" t="s">
        <v>4650</v>
      </c>
      <c r="C6187" s="3" t="s">
        <v>6306</v>
      </c>
      <c r="D6187" s="4" t="str">
        <f>HYPERLINK("https://12go.asia/en/travel/telangana/villupuram", "12Go Link")</f>
        <v>12Go Link</v>
      </c>
      <c r="E6187" s="3" t="s">
        <v>94</v>
      </c>
      <c r="K6187" s="5"/>
    </row>
    <row r="6188">
      <c r="A6188" s="3" t="s">
        <v>4143</v>
      </c>
      <c r="B6188" s="3" t="s">
        <v>3780</v>
      </c>
      <c r="C6188" s="3" t="s">
        <v>6307</v>
      </c>
      <c r="D6188" s="4" t="str">
        <f>HYPERLINK("https://12go.asia/en/travel/telangana/vizianagram", "12Go Link")</f>
        <v>12Go Link</v>
      </c>
      <c r="E6188" s="3" t="s">
        <v>94</v>
      </c>
      <c r="K6188" s="5"/>
    </row>
    <row r="6189">
      <c r="A6189" s="3" t="s">
        <v>4143</v>
      </c>
      <c r="B6189" s="3" t="s">
        <v>189</v>
      </c>
      <c r="C6189" s="3" t="s">
        <v>6308</v>
      </c>
      <c r="D6189" s="4" t="str">
        <f>HYPERLINK("https://12go.asia/en/travel/telangana/vrindavan", "12Go Link")</f>
        <v>12Go Link</v>
      </c>
      <c r="E6189" s="3" t="s">
        <v>94</v>
      </c>
      <c r="K6189" s="5"/>
    </row>
    <row r="6190">
      <c r="A6190" s="3" t="s">
        <v>4143</v>
      </c>
      <c r="B6190" s="3" t="s">
        <v>5007</v>
      </c>
      <c r="C6190" s="3" t="s">
        <v>6309</v>
      </c>
      <c r="D6190" s="4" t="str">
        <f>HYPERLINK("https://12go.asia/en/travel/telangana/yadgir", "12Go Link")</f>
        <v>12Go Link</v>
      </c>
      <c r="E6190" s="3" t="s">
        <v>94</v>
      </c>
      <c r="K6190" s="5"/>
    </row>
    <row r="6191">
      <c r="A6191" s="3" t="s">
        <v>4143</v>
      </c>
      <c r="B6191" s="3" t="s">
        <v>5010</v>
      </c>
      <c r="C6191" s="3" t="s">
        <v>6310</v>
      </c>
      <c r="D6191" s="4" t="str">
        <f>HYPERLINK("https://12go.asia/en/travel/telangana/yerraguntla", "12Go Link")</f>
        <v>12Go Link</v>
      </c>
      <c r="E6191" s="3" t="s">
        <v>94</v>
      </c>
      <c r="K6191" s="5"/>
    </row>
    <row r="6192">
      <c r="A6192" s="3" t="s">
        <v>5501</v>
      </c>
      <c r="B6192" s="3" t="s">
        <v>6311</v>
      </c>
      <c r="C6192" s="3" t="s">
        <v>6312</v>
      </c>
      <c r="D6192" s="4" t="str">
        <f>HYPERLINK("https://12go.asia/en/travel/tenali-junction/gudur-junction", "12Go Link")</f>
        <v>12Go Link</v>
      </c>
      <c r="E6192" s="3" t="s">
        <v>94</v>
      </c>
      <c r="K6192" s="5"/>
    </row>
    <row r="6193">
      <c r="A6193" s="3" t="s">
        <v>5501</v>
      </c>
      <c r="B6193" s="3" t="s">
        <v>6311</v>
      </c>
      <c r="C6193" s="3" t="s">
        <v>6313</v>
      </c>
      <c r="D6193" s="4" t="str">
        <f>HYPERLINK("https://12go.asia/en/travel/tenali/gudur", "12Go Link")</f>
        <v>12Go Link</v>
      </c>
      <c r="E6193" s="3" t="s">
        <v>94</v>
      </c>
      <c r="K6193" s="5"/>
    </row>
    <row r="6194">
      <c r="A6194" s="3" t="s">
        <v>5501</v>
      </c>
      <c r="B6194" s="3" t="s">
        <v>3678</v>
      </c>
      <c r="C6194" s="3" t="s">
        <v>6314</v>
      </c>
      <c r="D6194" s="4" t="str">
        <f>HYPERLINK("https://12go.asia/en/travel/tenali-junction/lingampalli", "12Go Link")</f>
        <v>12Go Link</v>
      </c>
      <c r="E6194" s="3" t="s">
        <v>94</v>
      </c>
      <c r="K6194" s="5"/>
    </row>
    <row r="6195">
      <c r="A6195" s="3" t="s">
        <v>5501</v>
      </c>
      <c r="B6195" s="3" t="s">
        <v>3678</v>
      </c>
      <c r="C6195" s="3" t="s">
        <v>6315</v>
      </c>
      <c r="D6195" s="4" t="str">
        <f>HYPERLINK("https://12go.asia/en/travel/tenali/lingampalli", "12Go Link")</f>
        <v>12Go Link</v>
      </c>
      <c r="E6195" s="3" t="s">
        <v>94</v>
      </c>
      <c r="K6195" s="5"/>
    </row>
    <row r="6196">
      <c r="A6196" s="3" t="s">
        <v>5501</v>
      </c>
      <c r="B6196" s="3" t="s">
        <v>3744</v>
      </c>
      <c r="C6196" s="3" t="s">
        <v>6316</v>
      </c>
      <c r="D6196" s="4" t="str">
        <f>HYPERLINK("https://12go.asia/en/travel/tenali-junction/nellore", "12Go Link")</f>
        <v>12Go Link</v>
      </c>
      <c r="E6196" s="3" t="s">
        <v>94</v>
      </c>
      <c r="K6196" s="5"/>
    </row>
    <row r="6197">
      <c r="A6197" s="3" t="s">
        <v>5501</v>
      </c>
      <c r="B6197" s="3" t="s">
        <v>3744</v>
      </c>
      <c r="C6197" s="3" t="s">
        <v>6317</v>
      </c>
      <c r="D6197" s="4" t="str">
        <f>HYPERLINK("https://12go.asia/en/travel/tenali/nellore", "12Go Link")</f>
        <v>12Go Link</v>
      </c>
      <c r="E6197" s="3" t="s">
        <v>94</v>
      </c>
      <c r="K6197" s="5"/>
    </row>
    <row r="6198">
      <c r="A6198" s="3" t="s">
        <v>4317</v>
      </c>
      <c r="B6198" s="3" t="s">
        <v>3773</v>
      </c>
      <c r="C6198" s="3" t="s">
        <v>6318</v>
      </c>
      <c r="D6198" s="4" t="str">
        <f>HYPERLINK("https://12go.asia/en/travel/tenkasi-jn/tambaram", "12Go Link")</f>
        <v>12Go Link</v>
      </c>
      <c r="E6198" s="3" t="s">
        <v>94</v>
      </c>
      <c r="K6198" s="5"/>
    </row>
    <row r="6199">
      <c r="A6199" s="3" t="s">
        <v>4317</v>
      </c>
      <c r="B6199" s="3" t="s">
        <v>3773</v>
      </c>
      <c r="C6199" s="3" t="s">
        <v>6319</v>
      </c>
      <c r="D6199" s="4" t="str">
        <f>HYPERLINK("https://12go.asia/en/travel/tenkasi/tambaram", "12Go Link")</f>
        <v>12Go Link</v>
      </c>
      <c r="E6199" s="3" t="s">
        <v>94</v>
      </c>
      <c r="K6199" s="5"/>
    </row>
    <row r="6200">
      <c r="A6200" s="3" t="s">
        <v>4317</v>
      </c>
      <c r="B6200" s="3" t="s">
        <v>4635</v>
      </c>
      <c r="C6200" s="3" t="s">
        <v>6320</v>
      </c>
      <c r="D6200" s="4" t="str">
        <f>HYPERLINK("https://12go.asia/en/travel/tenkasi-jn/tirunelveli", "12Go Link")</f>
        <v>12Go Link</v>
      </c>
      <c r="E6200" s="3" t="s">
        <v>94</v>
      </c>
      <c r="K6200" s="5"/>
    </row>
    <row r="6201">
      <c r="A6201" s="3" t="s">
        <v>4317</v>
      </c>
      <c r="B6201" s="3" t="s">
        <v>4635</v>
      </c>
      <c r="C6201" s="3" t="s">
        <v>6321</v>
      </c>
      <c r="D6201" s="4" t="str">
        <f>HYPERLINK("https://12go.asia/en/travel/tenkasi/tirunelveli", "12Go Link")</f>
        <v>12Go Link</v>
      </c>
      <c r="E6201" s="3" t="s">
        <v>94</v>
      </c>
      <c r="K6201" s="5"/>
    </row>
    <row r="6202">
      <c r="A6202" s="3" t="s">
        <v>4317</v>
      </c>
      <c r="B6202" s="3" t="s">
        <v>4270</v>
      </c>
      <c r="C6202" s="3" t="s">
        <v>6322</v>
      </c>
      <c r="D6202" s="4" t="str">
        <f>HYPERLINK("https://12go.asia/en/travel/tenkasi-jn/velankanni", "12Go Link")</f>
        <v>12Go Link</v>
      </c>
      <c r="E6202" s="3" t="s">
        <v>94</v>
      </c>
      <c r="K6202" s="5"/>
    </row>
    <row r="6203">
      <c r="A6203" s="3" t="s">
        <v>4317</v>
      </c>
      <c r="B6203" s="3" t="s">
        <v>4270</v>
      </c>
      <c r="C6203" s="3" t="s">
        <v>6323</v>
      </c>
      <c r="D6203" s="4" t="str">
        <f>HYPERLINK("https://12go.asia/en/travel/tenkasi/velankanni", "12Go Link")</f>
        <v>12Go Link</v>
      </c>
      <c r="E6203" s="3" t="s">
        <v>94</v>
      </c>
      <c r="K6203" s="5"/>
    </row>
    <row r="6204">
      <c r="A6204" s="3" t="s">
        <v>5829</v>
      </c>
      <c r="B6204" s="3" t="s">
        <v>165</v>
      </c>
      <c r="C6204" s="3" t="s">
        <v>6324</v>
      </c>
      <c r="D6204" s="4" t="str">
        <f>HYPERLINK("https://12go.asia/en/travel/thalassery/margao", "12Go Link")</f>
        <v>12Go Link</v>
      </c>
      <c r="E6204" s="3" t="s">
        <v>94</v>
      </c>
      <c r="K6204" s="5"/>
    </row>
    <row r="6205">
      <c r="A6205" s="3" t="s">
        <v>5829</v>
      </c>
      <c r="B6205" s="3" t="s">
        <v>3970</v>
      </c>
      <c r="C6205" s="3" t="s">
        <v>6325</v>
      </c>
      <c r="D6205" s="4" t="str">
        <f>HYPERLINK("https://12go.asia/en/travel/thalassery/navi-mumbai", "12Go Link")</f>
        <v>12Go Link</v>
      </c>
      <c r="E6205" s="3" t="s">
        <v>94</v>
      </c>
      <c r="K6205" s="5"/>
    </row>
    <row r="6206">
      <c r="A6206" s="3" t="s">
        <v>5829</v>
      </c>
      <c r="B6206" s="3" t="s">
        <v>4441</v>
      </c>
      <c r="C6206" s="3" t="s">
        <v>6326</v>
      </c>
      <c r="D6206" s="4" t="str">
        <f>HYPERLINK("https://12go.asia/en/travel/thalassery/north-goa", "12Go Link")</f>
        <v>12Go Link</v>
      </c>
      <c r="E6206" s="3" t="s">
        <v>94</v>
      </c>
      <c r="K6206" s="5"/>
    </row>
    <row r="6207">
      <c r="A6207" s="3" t="s">
        <v>5829</v>
      </c>
      <c r="B6207" s="3" t="s">
        <v>5243</v>
      </c>
      <c r="C6207" s="3" t="s">
        <v>6327</v>
      </c>
      <c r="D6207" s="4" t="str">
        <f>HYPERLINK("https://12go.asia/en/travel/thalassery/old-goa", "12Go Link")</f>
        <v>12Go Link</v>
      </c>
      <c r="E6207" s="3" t="s">
        <v>94</v>
      </c>
      <c r="K6207" s="5"/>
    </row>
    <row r="6208">
      <c r="A6208" s="3" t="s">
        <v>5829</v>
      </c>
      <c r="B6208" s="3" t="s">
        <v>3788</v>
      </c>
      <c r="C6208" s="3" t="s">
        <v>6328</v>
      </c>
      <c r="D6208" s="4" t="str">
        <f>HYPERLINK("https://12go.asia/en/travel/thalassery/shoranur", "12Go Link")</f>
        <v>12Go Link</v>
      </c>
      <c r="E6208" s="3" t="s">
        <v>94</v>
      </c>
      <c r="K6208" s="5"/>
    </row>
    <row r="6209">
      <c r="A6209" s="3" t="s">
        <v>4922</v>
      </c>
      <c r="B6209" s="3" t="s">
        <v>3610</v>
      </c>
      <c r="C6209" s="3" t="s">
        <v>6329</v>
      </c>
      <c r="D6209" s="4" t="str">
        <f>HYPERLINK("https://12go.asia/en/travel/thane/ahmadnagar", "12Go Link")</f>
        <v>12Go Link</v>
      </c>
      <c r="E6209" s="3" t="s">
        <v>94</v>
      </c>
      <c r="K6209" s="5"/>
    </row>
    <row r="6210">
      <c r="A6210" s="3" t="s">
        <v>4922</v>
      </c>
      <c r="B6210" s="3" t="s">
        <v>4037</v>
      </c>
      <c r="C6210" s="3" t="s">
        <v>6330</v>
      </c>
      <c r="D6210" s="4" t="str">
        <f>HYPERLINK("https://12go.asia/en/travel/thane/rani-kamalapati", "12Go Link")</f>
        <v>12Go Link</v>
      </c>
      <c r="E6210" s="3" t="s">
        <v>94</v>
      </c>
      <c r="K6210" s="5"/>
    </row>
    <row r="6211">
      <c r="A6211" s="3" t="s">
        <v>4922</v>
      </c>
      <c r="B6211" s="3" t="s">
        <v>6331</v>
      </c>
      <c r="C6211" s="3" t="s">
        <v>6332</v>
      </c>
      <c r="D6211" s="4" t="str">
        <f>HYPERLINK("https://12go.asia/en/travel/thane/hingoli", "12Go Link")</f>
        <v>12Go Link</v>
      </c>
      <c r="E6211" s="3" t="s">
        <v>94</v>
      </c>
      <c r="K6211" s="5"/>
    </row>
    <row r="6212">
      <c r="A6212" s="3" t="s">
        <v>4922</v>
      </c>
      <c r="B6212" s="3" t="s">
        <v>6331</v>
      </c>
      <c r="C6212" s="3" t="s">
        <v>6333</v>
      </c>
      <c r="D6212" s="4" t="str">
        <f>HYPERLINK("https://12go.asia/en/travel/thane/hingoli-deccan", "12Go Link")</f>
        <v>12Go Link</v>
      </c>
      <c r="E6212" s="3" t="s">
        <v>94</v>
      </c>
      <c r="K6212" s="5"/>
    </row>
    <row r="6213">
      <c r="A6213" s="3" t="s">
        <v>4922</v>
      </c>
      <c r="B6213" s="3" t="s">
        <v>5688</v>
      </c>
      <c r="C6213" s="3" t="s">
        <v>6334</v>
      </c>
      <c r="D6213" s="4" t="str">
        <f>HYPERLINK("https://12go.asia/en/travel/thane/janghai", "12Go Link")</f>
        <v>12Go Link</v>
      </c>
      <c r="E6213" s="3" t="s">
        <v>94</v>
      </c>
      <c r="K6213" s="5"/>
    </row>
    <row r="6214">
      <c r="A6214" s="3" t="s">
        <v>4922</v>
      </c>
      <c r="B6214" s="3" t="s">
        <v>5688</v>
      </c>
      <c r="C6214" s="3" t="s">
        <v>6335</v>
      </c>
      <c r="D6214" s="4" t="str">
        <f>HYPERLINK("https://12go.asia/en/travel/thane/janghai-junction", "12Go Link")</f>
        <v>12Go Link</v>
      </c>
      <c r="E6214" s="3" t="s">
        <v>94</v>
      </c>
      <c r="K6214" s="5"/>
    </row>
    <row r="6215">
      <c r="A6215" s="3" t="s">
        <v>4922</v>
      </c>
      <c r="B6215" s="3" t="s">
        <v>6336</v>
      </c>
      <c r="C6215" s="3" t="s">
        <v>6337</v>
      </c>
      <c r="D6215" s="4" t="str">
        <f>HYPERLINK("https://12go.asia/en/travel/thane/kasara", "12Go Link")</f>
        <v>12Go Link</v>
      </c>
      <c r="E6215" s="3" t="s">
        <v>94</v>
      </c>
      <c r="K6215" s="5"/>
    </row>
    <row r="6216">
      <c r="A6216" s="3" t="s">
        <v>4922</v>
      </c>
      <c r="B6216" s="3" t="s">
        <v>3678</v>
      </c>
      <c r="C6216" s="3" t="s">
        <v>6338</v>
      </c>
      <c r="D6216" s="4" t="str">
        <f>HYPERLINK("https://12go.asia/en/travel/thane/lingampalli", "12Go Link")</f>
        <v>12Go Link</v>
      </c>
      <c r="E6216" s="3" t="s">
        <v>94</v>
      </c>
      <c r="K6216" s="5"/>
    </row>
    <row r="6217">
      <c r="A6217" s="3" t="s">
        <v>4922</v>
      </c>
      <c r="B6217" s="3" t="s">
        <v>165</v>
      </c>
      <c r="C6217" s="3" t="s">
        <v>6339</v>
      </c>
      <c r="D6217" s="4" t="str">
        <f>HYPERLINK("https://12go.asia/en/travel/thane/margao", "12Go Link")</f>
        <v>12Go Link</v>
      </c>
      <c r="E6217" s="3" t="s">
        <v>94</v>
      </c>
      <c r="K6217" s="5"/>
    </row>
    <row r="6218">
      <c r="A6218" s="3" t="s">
        <v>4922</v>
      </c>
      <c r="B6218" s="3" t="s">
        <v>3970</v>
      </c>
      <c r="C6218" s="3" t="s">
        <v>6340</v>
      </c>
      <c r="D6218" s="4" t="str">
        <f>HYPERLINK("https://12go.asia/en/travel/thane/navi-mumbai", "12Go Link")</f>
        <v>12Go Link</v>
      </c>
      <c r="E6218" s="3" t="s">
        <v>94</v>
      </c>
      <c r="K6218" s="5"/>
    </row>
    <row r="6219">
      <c r="A6219" s="3" t="s">
        <v>4922</v>
      </c>
      <c r="B6219" s="3" t="s">
        <v>4441</v>
      </c>
      <c r="C6219" s="3" t="s">
        <v>6341</v>
      </c>
      <c r="D6219" s="4" t="str">
        <f>HYPERLINK("https://12go.asia/en/travel/thane/north-goa", "12Go Link")</f>
        <v>12Go Link</v>
      </c>
      <c r="E6219" s="3" t="s">
        <v>94</v>
      </c>
      <c r="K6219" s="5"/>
    </row>
    <row r="6220">
      <c r="A6220" s="3" t="s">
        <v>4922</v>
      </c>
      <c r="B6220" s="3" t="s">
        <v>5243</v>
      </c>
      <c r="C6220" s="3" t="s">
        <v>6342</v>
      </c>
      <c r="D6220" s="4" t="str">
        <f>HYPERLINK("https://12go.asia/en/travel/thane/old-goa", "12Go Link")</f>
        <v>12Go Link</v>
      </c>
      <c r="E6220" s="3" t="s">
        <v>94</v>
      </c>
      <c r="K6220" s="5"/>
    </row>
    <row r="6221">
      <c r="A6221" s="3" t="s">
        <v>5250</v>
      </c>
      <c r="B6221" s="3" t="s">
        <v>5633</v>
      </c>
      <c r="C6221" s="3" t="s">
        <v>6343</v>
      </c>
      <c r="D6221" s="4" t="str">
        <f>HYPERLINK("https://12go.asia/en/travel/thanjavur/mayiladuthurai", "12Go Link")</f>
        <v>12Go Link</v>
      </c>
      <c r="E6221" s="3" t="s">
        <v>94</v>
      </c>
      <c r="K6221" s="5"/>
    </row>
    <row r="6222">
      <c r="A6222" s="3" t="s">
        <v>5250</v>
      </c>
      <c r="B6222" s="3" t="s">
        <v>5633</v>
      </c>
      <c r="C6222" s="3" t="s">
        <v>6344</v>
      </c>
      <c r="D6222" s="4" t="str">
        <f>HYPERLINK("https://12go.asia/en/travel/thanjavur/mayiladuturai-jn", "12Go Link")</f>
        <v>12Go Link</v>
      </c>
      <c r="E6222" s="3" t="s">
        <v>94</v>
      </c>
      <c r="K6222" s="5"/>
    </row>
    <row r="6223">
      <c r="A6223" s="3" t="s">
        <v>5250</v>
      </c>
      <c r="B6223" s="3" t="s">
        <v>172</v>
      </c>
      <c r="C6223" s="3" t="s">
        <v>6345</v>
      </c>
      <c r="D6223" s="4" t="str">
        <f>HYPERLINK("https://12go.asia/en/travel/thanjavur/mysore", "12Go Link")</f>
        <v>12Go Link</v>
      </c>
      <c r="E6223" s="3" t="s">
        <v>94</v>
      </c>
      <c r="K6223" s="5"/>
    </row>
    <row r="6224">
      <c r="A6224" s="3" t="s">
        <v>5250</v>
      </c>
      <c r="B6224" s="3" t="s">
        <v>172</v>
      </c>
      <c r="C6224" s="3" t="s">
        <v>6346</v>
      </c>
      <c r="D6224" s="4" t="str">
        <f>HYPERLINK("https://12go.asia/en/travel/thanjavur/mysore-jn", "12Go Link")</f>
        <v>12Go Link</v>
      </c>
      <c r="E6224" s="3" t="s">
        <v>94</v>
      </c>
      <c r="K6224" s="5"/>
    </row>
    <row r="6225">
      <c r="A6225" s="3" t="s">
        <v>5250</v>
      </c>
      <c r="B6225" s="3" t="s">
        <v>6001</v>
      </c>
      <c r="C6225" s="3" t="s">
        <v>6347</v>
      </c>
      <c r="D6225" s="4" t="str">
        <f>HYPERLINK("https://12go.asia/en/travel/thanjavur/pudukkottai", "12Go Link")</f>
        <v>12Go Link</v>
      </c>
      <c r="E6225" s="3" t="s">
        <v>94</v>
      </c>
      <c r="K6225" s="5"/>
    </row>
    <row r="6226">
      <c r="A6226" s="3" t="s">
        <v>6348</v>
      </c>
      <c r="B6226" s="3" t="s">
        <v>5201</v>
      </c>
      <c r="C6226" s="3" t="s">
        <v>6349</v>
      </c>
      <c r="D6226" s="4" t="str">
        <f>HYPERLINK("https://12go.asia/en/travel/teni/madurai-junction", "12Go Link")</f>
        <v>12Go Link</v>
      </c>
      <c r="E6226" s="3" t="s">
        <v>94</v>
      </c>
      <c r="K6226" s="5"/>
    </row>
    <row r="6227">
      <c r="A6227" s="3" t="s">
        <v>6348</v>
      </c>
      <c r="B6227" s="3" t="s">
        <v>5201</v>
      </c>
      <c r="C6227" s="3" t="s">
        <v>6350</v>
      </c>
      <c r="D6227" s="4" t="str">
        <f>HYPERLINK("https://12go.asia/en/travel/theni/madurai", "12Go Link")</f>
        <v>12Go Link</v>
      </c>
      <c r="E6227" s="3" t="s">
        <v>94</v>
      </c>
      <c r="K6227" s="5"/>
    </row>
    <row r="6228">
      <c r="A6228" s="3" t="s">
        <v>6351</v>
      </c>
      <c r="B6228" s="3" t="s">
        <v>4637</v>
      </c>
      <c r="C6228" s="3" t="s">
        <v>6352</v>
      </c>
      <c r="D6228" s="4" t="str">
        <f>HYPERLINK("https://12go.asia/en/travel/thoothukudi/erode", "12Go Link")</f>
        <v>12Go Link</v>
      </c>
      <c r="E6228" s="3" t="s">
        <v>94</v>
      </c>
      <c r="K6228" s="5"/>
    </row>
    <row r="6229">
      <c r="A6229" s="3" t="s">
        <v>6351</v>
      </c>
      <c r="B6229" s="3" t="s">
        <v>4637</v>
      </c>
      <c r="C6229" s="3" t="s">
        <v>6353</v>
      </c>
      <c r="D6229" s="4" t="str">
        <f>HYPERLINK("https://12go.asia/en/travel/tuticorin/erode", "12Go Link")</f>
        <v>12Go Link</v>
      </c>
      <c r="E6229" s="3" t="s">
        <v>94</v>
      </c>
      <c r="K6229" s="5"/>
    </row>
    <row r="6230">
      <c r="A6230" s="3" t="s">
        <v>6351</v>
      </c>
      <c r="B6230" s="3" t="s">
        <v>4635</v>
      </c>
      <c r="C6230" s="3" t="s">
        <v>6354</v>
      </c>
      <c r="D6230" s="4" t="str">
        <f>HYPERLINK("https://12go.asia/en/travel/tuticorin/tirunelveli", "12Go Link")</f>
        <v>12Go Link</v>
      </c>
      <c r="E6230" s="3" t="s">
        <v>94</v>
      </c>
      <c r="K6230" s="5"/>
    </row>
    <row r="6231">
      <c r="A6231" s="3" t="s">
        <v>6351</v>
      </c>
      <c r="B6231" s="3" t="s">
        <v>4635</v>
      </c>
      <c r="C6231" s="3" t="s">
        <v>6355</v>
      </c>
      <c r="D6231" s="4" t="str">
        <f>HYPERLINK("https://12go.asia/en/travel/thoothukudi/tirunelveli", "12Go Link")</f>
        <v>12Go Link</v>
      </c>
      <c r="E6231" s="3" t="s">
        <v>94</v>
      </c>
      <c r="K6231" s="5"/>
    </row>
    <row r="6232">
      <c r="A6232" s="3" t="s">
        <v>5832</v>
      </c>
      <c r="B6232" s="3" t="s">
        <v>5203</v>
      </c>
      <c r="C6232" s="3" t="s">
        <v>6356</v>
      </c>
      <c r="D6232" s="4" t="str">
        <f>HYPERLINK("https://12go.asia/en/travel/thrissur/karunagapalli", "12Go Link")</f>
        <v>12Go Link</v>
      </c>
      <c r="E6232" s="3" t="s">
        <v>94</v>
      </c>
      <c r="K6232" s="5"/>
    </row>
    <row r="6233">
      <c r="A6233" s="3" t="s">
        <v>5832</v>
      </c>
      <c r="B6233" s="3" t="s">
        <v>165</v>
      </c>
      <c r="C6233" s="3" t="s">
        <v>6357</v>
      </c>
      <c r="D6233" s="4" t="str">
        <f>HYPERLINK("https://12go.asia/en/travel/thrissur/margao", "12Go Link")</f>
        <v>12Go Link</v>
      </c>
      <c r="E6233" s="3" t="s">
        <v>94</v>
      </c>
      <c r="K6233" s="5"/>
    </row>
    <row r="6234">
      <c r="A6234" s="3" t="s">
        <v>5832</v>
      </c>
      <c r="B6234" s="3" t="s">
        <v>3970</v>
      </c>
      <c r="C6234" s="3" t="s">
        <v>6358</v>
      </c>
      <c r="D6234" s="4" t="str">
        <f>HYPERLINK("https://12go.asia/en/travel/thrissur/navi-mumbai", "12Go Link")</f>
        <v>12Go Link</v>
      </c>
      <c r="E6234" s="3" t="s">
        <v>94</v>
      </c>
      <c r="K6234" s="5"/>
    </row>
    <row r="6235">
      <c r="A6235" s="3" t="s">
        <v>5832</v>
      </c>
      <c r="B6235" s="3" t="s">
        <v>4441</v>
      </c>
      <c r="C6235" s="3" t="s">
        <v>6359</v>
      </c>
      <c r="D6235" s="4" t="str">
        <f>HYPERLINK("https://12go.asia/en/travel/thrissur/north-goa", "12Go Link")</f>
        <v>12Go Link</v>
      </c>
      <c r="E6235" s="3" t="s">
        <v>94</v>
      </c>
      <c r="K6235" s="5"/>
    </row>
    <row r="6236">
      <c r="A6236" s="3" t="s">
        <v>5832</v>
      </c>
      <c r="B6236" s="3" t="s">
        <v>5243</v>
      </c>
      <c r="C6236" s="3" t="s">
        <v>6360</v>
      </c>
      <c r="D6236" s="4" t="str">
        <f>HYPERLINK("https://12go.asia/en/travel/thrissur/old-goa", "12Go Link")</f>
        <v>12Go Link</v>
      </c>
      <c r="E6236" s="3" t="s">
        <v>94</v>
      </c>
      <c r="K6236" s="5"/>
    </row>
    <row r="6237">
      <c r="A6237" s="3" t="s">
        <v>6361</v>
      </c>
      <c r="B6237" s="3" t="s">
        <v>4037</v>
      </c>
      <c r="C6237" s="3" t="s">
        <v>6362</v>
      </c>
      <c r="D6237" s="4" t="str">
        <f>HYPERLINK("https://12go.asia/en/travel/tikamgarh/rani-kamalapati", "12Go Link")</f>
        <v>12Go Link</v>
      </c>
      <c r="E6237" s="3" t="s">
        <v>94</v>
      </c>
      <c r="K6237" s="5"/>
    </row>
    <row r="6238">
      <c r="A6238" s="3" t="s">
        <v>6361</v>
      </c>
      <c r="B6238" s="3" t="s">
        <v>3726</v>
      </c>
      <c r="C6238" s="3" t="s">
        <v>6363</v>
      </c>
      <c r="D6238" s="4" t="str">
        <f>HYPERLINK("https://12go.asia/en/travel/tikamgarh/habibganj", "12Go Link")</f>
        <v>12Go Link</v>
      </c>
      <c r="E6238" s="3" t="s">
        <v>94</v>
      </c>
      <c r="K6238" s="5"/>
    </row>
    <row r="6239">
      <c r="A6239" s="3" t="s">
        <v>4780</v>
      </c>
      <c r="B6239" s="3" t="s">
        <v>3666</v>
      </c>
      <c r="C6239" s="3" t="s">
        <v>6364</v>
      </c>
      <c r="D6239" s="4" t="str">
        <f>HYPERLINK("https://12go.asia/en/travel/tinsukia/varanasi", "12Go Link")</f>
        <v>12Go Link</v>
      </c>
      <c r="E6239" s="3" t="s">
        <v>94</v>
      </c>
      <c r="K6239" s="5"/>
    </row>
    <row r="6240">
      <c r="A6240" s="3" t="s">
        <v>4780</v>
      </c>
      <c r="B6240" s="3" t="s">
        <v>3666</v>
      </c>
      <c r="C6240" s="3" t="s">
        <v>6365</v>
      </c>
      <c r="D6240" s="4" t="str">
        <f>HYPERLINK("https://12go.asia/en/travel/tinsukia/varanasi-jn", "12Go Link")</f>
        <v>12Go Link</v>
      </c>
      <c r="E6240" s="3" t="s">
        <v>94</v>
      </c>
      <c r="K6240" s="5"/>
    </row>
    <row r="6241">
      <c r="A6241" s="3" t="s">
        <v>3694</v>
      </c>
      <c r="B6241" s="3" t="s">
        <v>4418</v>
      </c>
      <c r="C6241" s="3" t="s">
        <v>6366</v>
      </c>
      <c r="D6241" s="4" t="str">
        <f>HYPERLINK("https://12go.asia/en/travel/tiruchchirappalli-junction/cuddalore-port-junction", "12Go Link")</f>
        <v>12Go Link</v>
      </c>
      <c r="E6241" s="3" t="s">
        <v>94</v>
      </c>
      <c r="K6241" s="5"/>
    </row>
    <row r="6242">
      <c r="A6242" s="3" t="s">
        <v>3694</v>
      </c>
      <c r="B6242" s="3" t="s">
        <v>4418</v>
      </c>
      <c r="C6242" s="3" t="s">
        <v>6367</v>
      </c>
      <c r="D6242" s="4" t="str">
        <f>HYPERLINK("https://12go.asia/en/travel/tiruchchirappalli-junction/tirupadripulyur", "12Go Link")</f>
        <v>12Go Link</v>
      </c>
      <c r="E6242" s="3" t="s">
        <v>94</v>
      </c>
      <c r="K6242" s="5"/>
    </row>
    <row r="6243">
      <c r="A6243" s="3" t="s">
        <v>3694</v>
      </c>
      <c r="B6243" s="3" t="s">
        <v>4418</v>
      </c>
      <c r="C6243" s="3" t="s">
        <v>6368</v>
      </c>
      <c r="D6243" s="4" t="str">
        <f>HYPERLINK("https://12go.asia/en/travel/tiruchirappalli/cuddalore", "12Go Link")</f>
        <v>12Go Link</v>
      </c>
      <c r="E6243" s="3" t="s">
        <v>94</v>
      </c>
      <c r="K6243" s="5"/>
    </row>
    <row r="6244">
      <c r="A6244" s="3" t="s">
        <v>3694</v>
      </c>
      <c r="B6244" s="3" t="s">
        <v>4367</v>
      </c>
      <c r="C6244" s="3" t="s">
        <v>6369</v>
      </c>
      <c r="D6244" s="4" t="str">
        <f>HYPERLINK("https://12go.asia/en/travel/tiruchchirappalli-junction/manaparai", "12Go Link")</f>
        <v>12Go Link</v>
      </c>
      <c r="E6244" s="3" t="s">
        <v>94</v>
      </c>
      <c r="K6244" s="5"/>
    </row>
    <row r="6245">
      <c r="A6245" s="3" t="s">
        <v>4635</v>
      </c>
      <c r="B6245" s="3" t="s">
        <v>3643</v>
      </c>
      <c r="C6245" s="3" t="s">
        <v>6370</v>
      </c>
      <c r="D6245" s="4" t="str">
        <f>HYPERLINK("https://12go.asia/en/travel/tirunelveli/alappuzha", "12Go Link")</f>
        <v>12Go Link</v>
      </c>
      <c r="E6245" s="3" t="s">
        <v>94</v>
      </c>
      <c r="K6245" s="5"/>
    </row>
    <row r="6246">
      <c r="A6246" s="3" t="s">
        <v>4635</v>
      </c>
      <c r="B6246" s="3" t="s">
        <v>5532</v>
      </c>
      <c r="C6246" s="3" t="s">
        <v>6371</v>
      </c>
      <c r="D6246" s="4" t="str">
        <f>HYPERLINK("https://12go.asia/en/travel/tirunelveli/mandapam", "12Go Link")</f>
        <v>12Go Link</v>
      </c>
      <c r="E6246" s="3" t="s">
        <v>94</v>
      </c>
      <c r="K6246" s="5"/>
    </row>
    <row r="6247">
      <c r="A6247" s="3" t="s">
        <v>4635</v>
      </c>
      <c r="B6247" s="3" t="s">
        <v>165</v>
      </c>
      <c r="C6247" s="3" t="s">
        <v>6372</v>
      </c>
      <c r="D6247" s="4" t="str">
        <f>HYPERLINK("https://12go.asia/en/travel/tirunelveli/margao", "12Go Link")</f>
        <v>12Go Link</v>
      </c>
      <c r="E6247" s="3" t="s">
        <v>94</v>
      </c>
      <c r="K6247" s="5"/>
    </row>
    <row r="6248">
      <c r="A6248" s="3" t="s">
        <v>4635</v>
      </c>
      <c r="B6248" s="3" t="s">
        <v>3970</v>
      </c>
      <c r="C6248" s="3" t="s">
        <v>6373</v>
      </c>
      <c r="D6248" s="4" t="str">
        <f>HYPERLINK("https://12go.asia/en/travel/tirunelveli/navi-mumbai", "12Go Link")</f>
        <v>12Go Link</v>
      </c>
      <c r="E6248" s="3" t="s">
        <v>94</v>
      </c>
      <c r="K6248" s="5"/>
    </row>
    <row r="6249">
      <c r="A6249" s="3" t="s">
        <v>4635</v>
      </c>
      <c r="B6249" s="3" t="s">
        <v>5016</v>
      </c>
      <c r="C6249" s="3" t="s">
        <v>6374</v>
      </c>
      <c r="D6249" s="4" t="str">
        <f>HYPERLINK("https://12go.asia/en/travel/tirunelveli/panvel", "12Go Link")</f>
        <v>12Go Link</v>
      </c>
      <c r="E6249" s="3" t="s">
        <v>94</v>
      </c>
      <c r="K6249" s="5"/>
    </row>
    <row r="6250">
      <c r="A6250" s="3" t="s">
        <v>4635</v>
      </c>
      <c r="B6250" s="3" t="s">
        <v>4317</v>
      </c>
      <c r="C6250" s="3" t="s">
        <v>6375</v>
      </c>
      <c r="D6250" s="4" t="str">
        <f>HYPERLINK("https://12go.asia/en/travel/tirunelveli/tenkasi", "12Go Link")</f>
        <v>12Go Link</v>
      </c>
      <c r="E6250" s="3" t="s">
        <v>94</v>
      </c>
      <c r="K6250" s="5"/>
    </row>
    <row r="6251">
      <c r="A6251" s="3" t="s">
        <v>4635</v>
      </c>
      <c r="B6251" s="3" t="s">
        <v>4317</v>
      </c>
      <c r="C6251" s="3" t="s">
        <v>6376</v>
      </c>
      <c r="D6251" s="4" t="str">
        <f>HYPERLINK("https://12go.asia/en/travel/tirunelveli/tenkasi-jn", "12Go Link")</f>
        <v>12Go Link</v>
      </c>
      <c r="E6251" s="3" t="s">
        <v>94</v>
      </c>
      <c r="K6251" s="5"/>
    </row>
    <row r="6252">
      <c r="A6252" s="3" t="s">
        <v>3582</v>
      </c>
      <c r="B6252" s="3" t="s">
        <v>3712</v>
      </c>
      <c r="C6252" s="3" t="s">
        <v>6377</v>
      </c>
      <c r="D6252" s="4" t="str">
        <f>HYPERLINK("https://12go.asia/en/travel/tirupati/amadalavalasa", "12Go Link")</f>
        <v>12Go Link</v>
      </c>
      <c r="E6252" s="3" t="s">
        <v>94</v>
      </c>
      <c r="K6252" s="5"/>
    </row>
    <row r="6253">
      <c r="A6253" s="3" t="s">
        <v>3582</v>
      </c>
      <c r="B6253" s="3" t="s">
        <v>6267</v>
      </c>
      <c r="C6253" s="3" t="s">
        <v>6378</v>
      </c>
      <c r="D6253" s="4" t="str">
        <f>HYPERLINK("https://12go.asia/en/travel/tirupati/bhongir", "12Go Link")</f>
        <v>12Go Link</v>
      </c>
      <c r="E6253" s="3" t="s">
        <v>94</v>
      </c>
      <c r="K6253" s="5"/>
    </row>
    <row r="6254">
      <c r="A6254" s="3" t="s">
        <v>3582</v>
      </c>
      <c r="B6254" s="3" t="s">
        <v>5179</v>
      </c>
      <c r="C6254" s="3" t="s">
        <v>6379</v>
      </c>
      <c r="D6254" s="4" t="str">
        <f>HYPERLINK("https://12go.asia/en/travel/tirupati/dharmavaram", "12Go Link")</f>
        <v>12Go Link</v>
      </c>
      <c r="E6254" s="3" t="s">
        <v>94</v>
      </c>
      <c r="K6254" s="5"/>
    </row>
    <row r="6255">
      <c r="A6255" s="3" t="s">
        <v>3582</v>
      </c>
      <c r="B6255" s="3" t="s">
        <v>5179</v>
      </c>
      <c r="C6255" s="3" t="s">
        <v>6380</v>
      </c>
      <c r="D6255" s="4" t="str">
        <f>HYPERLINK("https://12go.asia/en/travel/tirupati/dharmavaram-junction", "12Go Link")</f>
        <v>12Go Link</v>
      </c>
      <c r="E6255" s="3" t="s">
        <v>94</v>
      </c>
      <c r="K6255" s="5"/>
    </row>
    <row r="6256">
      <c r="A6256" s="3" t="s">
        <v>3582</v>
      </c>
      <c r="B6256" s="3" t="s">
        <v>3582</v>
      </c>
      <c r="C6256" s="3" t="s">
        <v>6381</v>
      </c>
      <c r="D6256" s="4" t="str">
        <f>HYPERLINK("https://12go.asia/en/travel/renigunta-junction/tirupati", "12Go Link")</f>
        <v>12Go Link</v>
      </c>
      <c r="E6256" s="3" t="s">
        <v>94</v>
      </c>
      <c r="K6256" s="5"/>
    </row>
    <row r="6257">
      <c r="A6257" s="3" t="s">
        <v>3582</v>
      </c>
      <c r="B6257" s="3" t="s">
        <v>3582</v>
      </c>
      <c r="C6257" s="3" t="s">
        <v>6382</v>
      </c>
      <c r="D6257" s="4" t="str">
        <f>HYPERLINK("https://12go.asia/en/travel/tirupati/renigunta-junction", "12Go Link")</f>
        <v>12Go Link</v>
      </c>
      <c r="E6257" s="3" t="s">
        <v>94</v>
      </c>
      <c r="K6257" s="5"/>
    </row>
    <row r="6258">
      <c r="A6258" s="3" t="s">
        <v>3582</v>
      </c>
      <c r="B6258" s="3" t="s">
        <v>6383</v>
      </c>
      <c r="C6258" s="3" t="s">
        <v>6384</v>
      </c>
      <c r="D6258" s="4" t="str">
        <f>HYPERLINK("https://12go.asia/en/travel/renigunta-junction/tiruttani", "12Go Link")</f>
        <v>12Go Link</v>
      </c>
      <c r="E6258" s="3" t="s">
        <v>94</v>
      </c>
      <c r="K6258" s="5"/>
    </row>
    <row r="6259">
      <c r="A6259" s="3" t="s">
        <v>3582</v>
      </c>
      <c r="B6259" s="3" t="s">
        <v>6383</v>
      </c>
      <c r="C6259" s="3" t="s">
        <v>6385</v>
      </c>
      <c r="D6259" s="4" t="str">
        <f>HYPERLINK("https://12go.asia/en/travel/tirupati/tiruttani", "12Go Link")</f>
        <v>12Go Link</v>
      </c>
      <c r="E6259" s="3" t="s">
        <v>94</v>
      </c>
      <c r="K6259" s="5"/>
    </row>
    <row r="6260">
      <c r="A6260" s="3" t="s">
        <v>3582</v>
      </c>
      <c r="B6260" s="3" t="s">
        <v>4996</v>
      </c>
      <c r="C6260" s="3" t="s">
        <v>6386</v>
      </c>
      <c r="D6260" s="4" t="str">
        <f>HYPERLINK("https://12go.asia/en/travel/tirupati/vikarabad", "12Go Link")</f>
        <v>12Go Link</v>
      </c>
      <c r="E6260" s="3" t="s">
        <v>94</v>
      </c>
      <c r="K6260" s="5"/>
    </row>
    <row r="6261">
      <c r="A6261" s="3" t="s">
        <v>3582</v>
      </c>
      <c r="B6261" s="3" t="s">
        <v>4996</v>
      </c>
      <c r="C6261" s="3" t="s">
        <v>6387</v>
      </c>
      <c r="D6261" s="4" t="str">
        <f>HYPERLINK("https://12go.asia/en/travel/tirupati/vikarabad-junction", "12Go Link")</f>
        <v>12Go Link</v>
      </c>
      <c r="E6261" s="3" t="s">
        <v>94</v>
      </c>
      <c r="K6261" s="5"/>
    </row>
    <row r="6262">
      <c r="A6262" s="3" t="s">
        <v>6388</v>
      </c>
      <c r="B6262" s="3" t="s">
        <v>4277</v>
      </c>
      <c r="C6262" s="3" t="s">
        <v>6389</v>
      </c>
      <c r="D6262" s="4" t="str">
        <f>HYPERLINK("https://12go.asia/en/travel/tirupattur-junction/coimbatore", "12Go Link")</f>
        <v>12Go Link</v>
      </c>
      <c r="E6262" s="3" t="s">
        <v>94</v>
      </c>
      <c r="K6262" s="5"/>
    </row>
    <row r="6263">
      <c r="A6263" s="3" t="s">
        <v>6388</v>
      </c>
      <c r="B6263" s="3" t="s">
        <v>4277</v>
      </c>
      <c r="C6263" s="3" t="s">
        <v>6390</v>
      </c>
      <c r="D6263" s="4" t="str">
        <f>HYPERLINK("https://12go.asia/en/travel/tirupattur/coimbatore", "12Go Link")</f>
        <v>12Go Link</v>
      </c>
      <c r="E6263" s="3" t="s">
        <v>94</v>
      </c>
      <c r="K6263" s="5"/>
    </row>
    <row r="6264">
      <c r="A6264" s="3" t="s">
        <v>6388</v>
      </c>
      <c r="B6264" s="3" t="s">
        <v>3750</v>
      </c>
      <c r="C6264" s="3" t="s">
        <v>6391</v>
      </c>
      <c r="D6264" s="4" t="str">
        <f>HYPERLINK("https://12go.asia/en/travel/tirupattur-junction/podanur-junction", "12Go Link")</f>
        <v>12Go Link</v>
      </c>
      <c r="E6264" s="3" t="s">
        <v>94</v>
      </c>
      <c r="K6264" s="5"/>
    </row>
    <row r="6265">
      <c r="A6265" s="3" t="s">
        <v>6388</v>
      </c>
      <c r="B6265" s="3" t="s">
        <v>3750</v>
      </c>
      <c r="C6265" s="3" t="s">
        <v>6392</v>
      </c>
      <c r="D6265" s="4" t="str">
        <f>HYPERLINK("https://12go.asia/en/travel/tirupattur/podanur", "12Go Link")</f>
        <v>12Go Link</v>
      </c>
      <c r="E6265" s="3" t="s">
        <v>94</v>
      </c>
      <c r="K6265" s="5"/>
    </row>
    <row r="6266">
      <c r="A6266" s="3" t="s">
        <v>6388</v>
      </c>
      <c r="B6266" s="3" t="s">
        <v>6393</v>
      </c>
      <c r="C6266" s="3" t="s">
        <v>6394</v>
      </c>
      <c r="D6266" s="4" t="str">
        <f>HYPERLINK("https://12go.asia/en/travel/tirupattur-junction/salem-junction", "12Go Link")</f>
        <v>12Go Link</v>
      </c>
      <c r="E6266" s="3" t="s">
        <v>94</v>
      </c>
      <c r="K6266" s="5"/>
    </row>
    <row r="6267">
      <c r="A6267" s="3" t="s">
        <v>6388</v>
      </c>
      <c r="B6267" s="3" t="s">
        <v>6393</v>
      </c>
      <c r="C6267" s="3" t="s">
        <v>6395</v>
      </c>
      <c r="D6267" s="4" t="str">
        <f>HYPERLINK("https://12go.asia/en/travel/tirupattur/salem", "12Go Link")</f>
        <v>12Go Link</v>
      </c>
      <c r="E6267" s="3" t="s">
        <v>94</v>
      </c>
      <c r="K6267" s="5"/>
    </row>
    <row r="6268">
      <c r="A6268" s="3" t="s">
        <v>6388</v>
      </c>
      <c r="B6268" s="3" t="s">
        <v>4367</v>
      </c>
      <c r="C6268" s="3" t="s">
        <v>6396</v>
      </c>
      <c r="D6268" s="4" t="str">
        <f>HYPERLINK("https://12go.asia/en/travel/tirupattur/tamil-nadu", "12Go Link")</f>
        <v>12Go Link</v>
      </c>
      <c r="E6268" s="3" t="s">
        <v>94</v>
      </c>
      <c r="K6268" s="5"/>
    </row>
    <row r="6269">
      <c r="A6269" s="3" t="s">
        <v>6388</v>
      </c>
      <c r="B6269" s="3" t="s">
        <v>3926</v>
      </c>
      <c r="C6269" s="3" t="s">
        <v>6397</v>
      </c>
      <c r="D6269" s="4" t="str">
        <f>HYPERLINK("https://12go.asia/en/travel/tirupattur-junction/tiruppur", "12Go Link")</f>
        <v>12Go Link</v>
      </c>
      <c r="E6269" s="3" t="s">
        <v>94</v>
      </c>
      <c r="K6269" s="5"/>
    </row>
    <row r="6270">
      <c r="A6270" s="3" t="s">
        <v>6388</v>
      </c>
      <c r="B6270" s="3" t="s">
        <v>3926</v>
      </c>
      <c r="C6270" s="3" t="s">
        <v>6398</v>
      </c>
      <c r="D6270" s="4" t="str">
        <f>HYPERLINK("https://12go.asia/en/travel/tirupattur/tiruppur", "12Go Link")</f>
        <v>12Go Link</v>
      </c>
      <c r="E6270" s="3" t="s">
        <v>94</v>
      </c>
      <c r="K6270" s="5"/>
    </row>
    <row r="6271">
      <c r="A6271" s="3" t="s">
        <v>3926</v>
      </c>
      <c r="B6271" s="3" t="s">
        <v>3847</v>
      </c>
      <c r="C6271" s="3" t="s">
        <v>6399</v>
      </c>
      <c r="D6271" s="4" t="str">
        <f>HYPERLINK("https://12go.asia/en/travel/tiruppur/new-bengaluru-terminal", "12Go Link")</f>
        <v>12Go Link</v>
      </c>
      <c r="E6271" s="3" t="s">
        <v>94</v>
      </c>
      <c r="K6271" s="5"/>
    </row>
    <row r="6272">
      <c r="A6272" s="3" t="s">
        <v>3926</v>
      </c>
      <c r="B6272" s="3" t="s">
        <v>3847</v>
      </c>
      <c r="C6272" s="3" t="s">
        <v>6400</v>
      </c>
      <c r="D6272" s="4" t="str">
        <f>HYPERLINK("https://12go.asia/en/travel/tiruppur/yelahanka-junction", "12Go Link")</f>
        <v>12Go Link</v>
      </c>
      <c r="E6272" s="3" t="s">
        <v>94</v>
      </c>
      <c r="K6272" s="5"/>
    </row>
    <row r="6273">
      <c r="A6273" s="3" t="s">
        <v>3926</v>
      </c>
      <c r="B6273" s="3" t="s">
        <v>3906</v>
      </c>
      <c r="C6273" s="3" t="s">
        <v>6401</v>
      </c>
      <c r="D6273" s="4" t="str">
        <f>HYPERLINK("https://12go.asia/en/travel/tiruppur/karur", "12Go Link")</f>
        <v>12Go Link</v>
      </c>
      <c r="E6273" s="3" t="s">
        <v>94</v>
      </c>
      <c r="K6273" s="5"/>
    </row>
    <row r="6274">
      <c r="A6274" s="3" t="s">
        <v>3926</v>
      </c>
      <c r="B6274" s="3" t="s">
        <v>5194</v>
      </c>
      <c r="C6274" s="3" t="s">
        <v>6402</v>
      </c>
      <c r="D6274" s="4" t="str">
        <f>HYPERLINK("https://12go.asia/en/travel/tiruppur/kayamkulam", "12Go Link")</f>
        <v>12Go Link</v>
      </c>
      <c r="E6274" s="3" t="s">
        <v>8</v>
      </c>
      <c r="K6274" s="5"/>
    </row>
    <row r="6275">
      <c r="A6275" s="3" t="s">
        <v>3926</v>
      </c>
      <c r="B6275" s="3" t="s">
        <v>5194</v>
      </c>
      <c r="C6275" s="3" t="s">
        <v>6403</v>
      </c>
      <c r="D6275" s="4" t="str">
        <f>HYPERLINK("https://12go.asia/en/travel/tiruppur/kayamkulam-junction", "12Go Link")</f>
        <v>12Go Link</v>
      </c>
      <c r="E6275" s="3" t="s">
        <v>94</v>
      </c>
      <c r="K6275" s="5"/>
    </row>
    <row r="6276">
      <c r="A6276" s="3" t="s">
        <v>3926</v>
      </c>
      <c r="B6276" s="3" t="s">
        <v>5194</v>
      </c>
      <c r="C6276" s="3" t="s">
        <v>6404</v>
      </c>
      <c r="D6276" s="4" t="str">
        <f>HYPERLINK("https://12go.asia/en/travel/tirupur/kayamkulam", "12Go Link")</f>
        <v>12Go Link</v>
      </c>
      <c r="E6276" s="3" t="s">
        <v>8</v>
      </c>
      <c r="K6276" s="5"/>
    </row>
    <row r="6277">
      <c r="A6277" s="3" t="s">
        <v>3926</v>
      </c>
      <c r="B6277" s="3" t="s">
        <v>5194</v>
      </c>
      <c r="C6277" s="3" t="s">
        <v>6402</v>
      </c>
      <c r="D6277" s="4" t="str">
        <f>HYPERLINK("https://12go.asia/en/travel/tiruppur/kayamkulam", "12Go Link")</f>
        <v>12Go Link</v>
      </c>
      <c r="E6277" s="3" t="s">
        <v>94</v>
      </c>
      <c r="K6277" s="5"/>
    </row>
    <row r="6278">
      <c r="A6278" s="3" t="s">
        <v>3926</v>
      </c>
      <c r="B6278" s="3" t="s">
        <v>6048</v>
      </c>
      <c r="C6278" s="3" t="s">
        <v>6405</v>
      </c>
      <c r="D6278" s="4" t="str">
        <f>HYPERLINK("https://12go.asia/en/travel/tiruppur/ramanathapuram", "12Go Link")</f>
        <v>12Go Link</v>
      </c>
      <c r="E6278" s="3" t="s">
        <v>94</v>
      </c>
      <c r="K6278" s="5"/>
    </row>
    <row r="6279">
      <c r="A6279" s="3" t="s">
        <v>3926</v>
      </c>
      <c r="B6279" s="3" t="s">
        <v>3694</v>
      </c>
      <c r="C6279" s="3" t="s">
        <v>6406</v>
      </c>
      <c r="D6279" s="4" t="str">
        <f>HYPERLINK("https://12go.asia/en/travel/tiruppur/tiruchchirappalli-junction", "12Go Link")</f>
        <v>12Go Link</v>
      </c>
      <c r="E6279" s="3" t="s">
        <v>94</v>
      </c>
      <c r="K6279" s="5"/>
    </row>
    <row r="6280">
      <c r="A6280" s="3" t="s">
        <v>3926</v>
      </c>
      <c r="B6280" s="3" t="s">
        <v>4374</v>
      </c>
      <c r="C6280" s="3" t="s">
        <v>6407</v>
      </c>
      <c r="D6280" s="4" t="str">
        <f>HYPERLINK("https://12go.asia/en/travel/tiruppur/vriddhachalam-junction", "12Go Link")</f>
        <v>12Go Link</v>
      </c>
      <c r="E6280" s="3" t="s">
        <v>94</v>
      </c>
      <c r="K6280" s="5"/>
    </row>
    <row r="6281">
      <c r="A6281" s="3" t="s">
        <v>3926</v>
      </c>
      <c r="B6281" s="3" t="s">
        <v>4374</v>
      </c>
      <c r="C6281" s="3" t="s">
        <v>6408</v>
      </c>
      <c r="D6281" s="4" t="str">
        <f>HYPERLINK("https://12go.asia/en/travel/tiruppur/vridhachalam", "12Go Link")</f>
        <v>12Go Link</v>
      </c>
      <c r="E6281" s="3" t="s">
        <v>94</v>
      </c>
      <c r="K6281" s="5"/>
    </row>
    <row r="6282">
      <c r="A6282" s="3" t="s">
        <v>3926</v>
      </c>
      <c r="B6282" s="3" t="s">
        <v>4381</v>
      </c>
      <c r="C6282" s="3" t="s">
        <v>6409</v>
      </c>
      <c r="D6282" s="4" t="str">
        <f>HYPERLINK("https://12go.asia/en/travel/tiruppur/yelhanka", "12Go Link")</f>
        <v>12Go Link</v>
      </c>
      <c r="E6282" s="3" t="s">
        <v>94</v>
      </c>
      <c r="K6282" s="5"/>
    </row>
    <row r="6283">
      <c r="A6283" s="3" t="s">
        <v>5252</v>
      </c>
      <c r="B6283" s="3" t="s">
        <v>3657</v>
      </c>
      <c r="C6283" s="3" t="s">
        <v>6410</v>
      </c>
      <c r="D6283" s="4" t="str">
        <f>HYPERLINK("https://12go.asia/en/travel/tirur/aluva", "12Go Link")</f>
        <v>12Go Link</v>
      </c>
      <c r="E6283" s="3" t="s">
        <v>94</v>
      </c>
      <c r="K6283" s="5"/>
    </row>
    <row r="6284">
      <c r="A6284" s="3" t="s">
        <v>5252</v>
      </c>
      <c r="B6284" s="3" t="s">
        <v>3847</v>
      </c>
      <c r="C6284" s="3" t="s">
        <v>6411</v>
      </c>
      <c r="D6284" s="4" t="str">
        <f>HYPERLINK("https://12go.asia/en/travel/tirur/yesvantpur", "12Go Link")</f>
        <v>12Go Link</v>
      </c>
      <c r="E6284" s="3" t="s">
        <v>94</v>
      </c>
      <c r="K6284" s="5"/>
    </row>
    <row r="6285">
      <c r="A6285" s="3" t="s">
        <v>5252</v>
      </c>
      <c r="B6285" s="3" t="s">
        <v>4277</v>
      </c>
      <c r="C6285" s="3" t="s">
        <v>6412</v>
      </c>
      <c r="D6285" s="4" t="str">
        <f>HYPERLINK("https://12go.asia/en/travel/tirur/coimbatore", "12Go Link")</f>
        <v>12Go Link</v>
      </c>
      <c r="E6285" s="3" t="s">
        <v>94</v>
      </c>
      <c r="K6285" s="5"/>
    </row>
    <row r="6286">
      <c r="A6286" s="3" t="s">
        <v>5252</v>
      </c>
      <c r="B6286" s="3" t="s">
        <v>3750</v>
      </c>
      <c r="C6286" s="3" t="s">
        <v>6413</v>
      </c>
      <c r="D6286" s="4" t="str">
        <f>HYPERLINK("https://12go.asia/en/travel/tirur/podanur", "12Go Link")</f>
        <v>12Go Link</v>
      </c>
      <c r="E6286" s="3" t="s">
        <v>94</v>
      </c>
      <c r="K6286" s="5"/>
    </row>
    <row r="6287">
      <c r="A6287" s="3" t="s">
        <v>5252</v>
      </c>
      <c r="B6287" s="3" t="s">
        <v>3750</v>
      </c>
      <c r="C6287" s="3" t="s">
        <v>6414</v>
      </c>
      <c r="D6287" s="4" t="str">
        <f>HYPERLINK("https://12go.asia/en/travel/tirur/podanur-junction", "12Go Link")</f>
        <v>12Go Link</v>
      </c>
      <c r="E6287" s="3" t="s">
        <v>94</v>
      </c>
      <c r="K6287" s="5"/>
    </row>
    <row r="6288">
      <c r="A6288" s="3" t="s">
        <v>5252</v>
      </c>
      <c r="B6288" s="3" t="s">
        <v>4367</v>
      </c>
      <c r="C6288" s="3" t="s">
        <v>6415</v>
      </c>
      <c r="D6288" s="4" t="str">
        <f>HYPERLINK("https://12go.asia/en/travel/tirur/tamil-nadu", "12Go Link")</f>
        <v>12Go Link</v>
      </c>
      <c r="E6288" s="3" t="s">
        <v>94</v>
      </c>
      <c r="K6288" s="5"/>
    </row>
    <row r="6289">
      <c r="A6289" s="3" t="s">
        <v>5252</v>
      </c>
      <c r="B6289" s="3" t="s">
        <v>3694</v>
      </c>
      <c r="C6289" s="3" t="s">
        <v>6416</v>
      </c>
      <c r="D6289" s="4" t="str">
        <f>HYPERLINK("https://12go.asia/en/travel/tirur/tiruchchirappalli-junction", "12Go Link")</f>
        <v>12Go Link</v>
      </c>
      <c r="E6289" s="3" t="s">
        <v>94</v>
      </c>
      <c r="K6289" s="5"/>
    </row>
    <row r="6290">
      <c r="A6290" s="3" t="s">
        <v>5252</v>
      </c>
      <c r="B6290" s="3" t="s">
        <v>3694</v>
      </c>
      <c r="C6290" s="3" t="s">
        <v>6417</v>
      </c>
      <c r="D6290" s="4" t="str">
        <f>HYPERLINK("https://12go.asia/en/travel/tirur/tiruchirappalli", "12Go Link")</f>
        <v>12Go Link</v>
      </c>
      <c r="E6290" s="3" t="s">
        <v>94</v>
      </c>
      <c r="K6290" s="5"/>
    </row>
    <row r="6291">
      <c r="A6291" s="3" t="s">
        <v>6418</v>
      </c>
      <c r="B6291" s="3" t="s">
        <v>4116</v>
      </c>
      <c r="C6291" s="3" t="s">
        <v>6419</v>
      </c>
      <c r="D6291" s="4" t="str">
        <f>HYPERLINK("https://12go.asia/en/travel/tiruvalla/chhattisgarh", "12Go Link")</f>
        <v>12Go Link</v>
      </c>
      <c r="E6291" s="3" t="s">
        <v>94</v>
      </c>
      <c r="K6291" s="5"/>
    </row>
    <row r="6292">
      <c r="A6292" s="3" t="s">
        <v>6418</v>
      </c>
      <c r="B6292" s="3" t="s">
        <v>4116</v>
      </c>
      <c r="C6292" s="3" t="s">
        <v>6420</v>
      </c>
      <c r="D6292" s="4" t="str">
        <f>HYPERLINK("https://12go.asia/en/travel/tiruvalla/raipur-jn", "12Go Link")</f>
        <v>12Go Link</v>
      </c>
      <c r="E6292" s="3" t="s">
        <v>94</v>
      </c>
      <c r="K6292" s="5"/>
    </row>
    <row r="6293">
      <c r="A6293" s="3" t="s">
        <v>6418</v>
      </c>
      <c r="B6293" s="3" t="s">
        <v>3919</v>
      </c>
      <c r="C6293" s="3" t="s">
        <v>6421</v>
      </c>
      <c r="D6293" s="4" t="str">
        <f>HYPERLINK("https://12go.asia/en/travel/tiruvalla/pune", "12Go Link")</f>
        <v>12Go Link</v>
      </c>
      <c r="E6293" s="3" t="s">
        <v>94</v>
      </c>
      <c r="K6293" s="5"/>
    </row>
    <row r="6294">
      <c r="A6294" s="3" t="s">
        <v>6418</v>
      </c>
      <c r="B6294" s="3" t="s">
        <v>3919</v>
      </c>
      <c r="C6294" s="3" t="s">
        <v>6422</v>
      </c>
      <c r="D6294" s="4" t="str">
        <f>HYPERLINK("https://12go.asia/en/travel/tiruvalla/pune-jn", "12Go Link")</f>
        <v>12Go Link</v>
      </c>
      <c r="E6294" s="3" t="s">
        <v>94</v>
      </c>
      <c r="K6294" s="5"/>
    </row>
    <row r="6295">
      <c r="A6295" s="3" t="s">
        <v>6418</v>
      </c>
      <c r="B6295" s="3" t="s">
        <v>4752</v>
      </c>
      <c r="C6295" s="3" t="s">
        <v>6423</v>
      </c>
      <c r="D6295" s="4" t="str">
        <f>HYPERLINK("https://12go.asia/en/travel/tiruvalla/raipur", "12Go Link")</f>
        <v>12Go Link</v>
      </c>
      <c r="E6295" s="3" t="s">
        <v>94</v>
      </c>
      <c r="K6295" s="5"/>
    </row>
    <row r="6296">
      <c r="A6296" s="3" t="s">
        <v>6418</v>
      </c>
      <c r="B6296" s="3" t="s">
        <v>4270</v>
      </c>
      <c r="C6296" s="3" t="s">
        <v>6424</v>
      </c>
      <c r="D6296" s="4" t="str">
        <f>HYPERLINK("https://12go.asia/en/travel/tiruvalla/velankanni", "12Go Link")</f>
        <v>12Go Link</v>
      </c>
      <c r="E6296" s="3" t="s">
        <v>94</v>
      </c>
      <c r="K6296" s="5"/>
    </row>
    <row r="6297">
      <c r="A6297" s="3" t="s">
        <v>5834</v>
      </c>
      <c r="B6297" s="3" t="s">
        <v>3952</v>
      </c>
      <c r="C6297" s="3" t="s">
        <v>6425</v>
      </c>
      <c r="D6297" s="4" t="str">
        <f>HYPERLINK("https://12go.asia/en/travel/kochuveli/basti", "12Go Link")</f>
        <v>12Go Link</v>
      </c>
      <c r="E6297" s="3" t="s">
        <v>94</v>
      </c>
      <c r="K6297" s="5"/>
    </row>
    <row r="6298">
      <c r="A6298" s="3" t="s">
        <v>5834</v>
      </c>
      <c r="B6298" s="3" t="s">
        <v>3952</v>
      </c>
      <c r="C6298" s="3" t="s">
        <v>6426</v>
      </c>
      <c r="D6298" s="4" t="str">
        <f>HYPERLINK("https://12go.asia/en/travel/trivandrum/basti", "12Go Link")</f>
        <v>12Go Link</v>
      </c>
      <c r="E6298" s="3" t="s">
        <v>94</v>
      </c>
      <c r="K6298" s="5"/>
    </row>
    <row r="6299">
      <c r="A6299" s="3" t="s">
        <v>5834</v>
      </c>
      <c r="B6299" s="3" t="s">
        <v>3715</v>
      </c>
      <c r="C6299" s="3" t="s">
        <v>6427</v>
      </c>
      <c r="D6299" s="4" t="str">
        <f t="shared" ref="D6299:D6300" si="375">HYPERLINK("https://12go.asia/en/travel/kazhakkoottam/chennai", "12Go Link")</f>
        <v>12Go Link</v>
      </c>
      <c r="E6299" s="3" t="s">
        <v>8</v>
      </c>
      <c r="K6299" s="5"/>
    </row>
    <row r="6300">
      <c r="A6300" s="3" t="s">
        <v>5834</v>
      </c>
      <c r="B6300" s="3" t="s">
        <v>3715</v>
      </c>
      <c r="C6300" s="3" t="s">
        <v>6427</v>
      </c>
      <c r="D6300" s="4" t="str">
        <f t="shared" si="375"/>
        <v>12Go Link</v>
      </c>
      <c r="E6300" s="3" t="s">
        <v>8</v>
      </c>
      <c r="K6300" s="5"/>
    </row>
    <row r="6301">
      <c r="A6301" s="3" t="s">
        <v>5834</v>
      </c>
      <c r="B6301" s="3" t="s">
        <v>3704</v>
      </c>
      <c r="C6301" s="3" t="s">
        <v>6428</v>
      </c>
      <c r="D6301" s="4" t="str">
        <f>HYPERLINK("https://12go.asia/en/travel/trivandrum-central/shalimar", "12Go Link")</f>
        <v>12Go Link</v>
      </c>
      <c r="E6301" s="3" t="s">
        <v>94</v>
      </c>
      <c r="K6301" s="5"/>
    </row>
    <row r="6302">
      <c r="A6302" s="3" t="s">
        <v>5834</v>
      </c>
      <c r="B6302" s="3" t="s">
        <v>3644</v>
      </c>
      <c r="C6302" s="3" t="s">
        <v>6429</v>
      </c>
      <c r="D6302" s="4" t="str">
        <f>HYPERLINK("https://12go.asia/en/travel/kazhakkoottam/mangalore", "12Go Link")</f>
        <v>12Go Link</v>
      </c>
      <c r="E6302" s="3" t="s">
        <v>8</v>
      </c>
      <c r="K6302" s="5"/>
    </row>
    <row r="6303">
      <c r="A6303" s="3" t="s">
        <v>5834</v>
      </c>
      <c r="B6303" s="3" t="s">
        <v>3658</v>
      </c>
      <c r="C6303" s="3" t="s">
        <v>6430</v>
      </c>
      <c r="D6303" s="4" t="str">
        <f>HYPERLINK("https://12go.asia/en/travel/kochuveli/nagercoil-town", "12Go Link")</f>
        <v>12Go Link</v>
      </c>
      <c r="E6303" s="3" t="s">
        <v>94</v>
      </c>
      <c r="K6303" s="5"/>
    </row>
    <row r="6304">
      <c r="A6304" s="3" t="s">
        <v>183</v>
      </c>
      <c r="B6304" s="3" t="s">
        <v>6290</v>
      </c>
      <c r="C6304" s="3" t="s">
        <v>6431</v>
      </c>
      <c r="D6304" s="4" t="str">
        <f>HYPERLINK("https://12go.asia/en/travel/tumakuru/mantralayam", "12Go Link")</f>
        <v>12Go Link</v>
      </c>
      <c r="E6304" s="3" t="s">
        <v>94</v>
      </c>
      <c r="K6304" s="5"/>
    </row>
    <row r="6305">
      <c r="A6305" s="3" t="s">
        <v>183</v>
      </c>
      <c r="B6305" s="3" t="s">
        <v>6290</v>
      </c>
      <c r="C6305" s="3" t="s">
        <v>6432</v>
      </c>
      <c r="D6305" s="4" t="str">
        <f>HYPERLINK("https://12go.asia/en/travel/tumkur/manthralayam-road", "12Go Link")</f>
        <v>12Go Link</v>
      </c>
      <c r="E6305" s="3" t="s">
        <v>94</v>
      </c>
      <c r="K6305" s="5"/>
    </row>
    <row r="6306">
      <c r="A6306" s="3" t="s">
        <v>4106</v>
      </c>
      <c r="B6306" s="3" t="s">
        <v>3955</v>
      </c>
      <c r="C6306" s="3" t="s">
        <v>6433</v>
      </c>
      <c r="D6306" s="4" t="str">
        <f>HYPERLINK("https://12go.asia/en/travel/tundla-junction/govindpuri", "12Go Link")</f>
        <v>12Go Link</v>
      </c>
      <c r="E6306" s="3" t="s">
        <v>94</v>
      </c>
      <c r="K6306" s="5"/>
    </row>
    <row r="6307">
      <c r="A6307" s="3" t="s">
        <v>3776</v>
      </c>
      <c r="B6307" s="3" t="s">
        <v>3752</v>
      </c>
      <c r="C6307" s="3" t="s">
        <v>6434</v>
      </c>
      <c r="D6307" s="4" t="str">
        <f>HYPERLINK("https://12go.asia/en/travel/ujjain/prayagraj", "12Go Link")</f>
        <v>12Go Link</v>
      </c>
      <c r="E6307" s="3" t="s">
        <v>94</v>
      </c>
      <c r="K6307" s="5"/>
    </row>
    <row r="6308">
      <c r="A6308" s="3" t="s">
        <v>6435</v>
      </c>
      <c r="B6308" s="3" t="s">
        <v>3994</v>
      </c>
      <c r="C6308" s="3" t="s">
        <v>6436</v>
      </c>
      <c r="D6308" s="4" t="str">
        <f>HYPERLINK("https://12go.asia/en/travel/unnao-junction/gomti-nagar-lucknow", "12Go Link")</f>
        <v>12Go Link</v>
      </c>
      <c r="E6308" s="3" t="s">
        <v>94</v>
      </c>
      <c r="K6308" s="5"/>
    </row>
    <row r="6309">
      <c r="A6309" s="3" t="s">
        <v>6435</v>
      </c>
      <c r="B6309" s="3" t="s">
        <v>3994</v>
      </c>
      <c r="C6309" s="3" t="s">
        <v>6437</v>
      </c>
      <c r="D6309" s="4" t="str">
        <f>HYPERLINK("https://12go.asia/en/travel/unnao-junction/lucknow-ne", "12Go Link")</f>
        <v>12Go Link</v>
      </c>
      <c r="E6309" s="3" t="s">
        <v>94</v>
      </c>
      <c r="K6309" s="5"/>
    </row>
    <row r="6310">
      <c r="A6310" s="3" t="s">
        <v>6435</v>
      </c>
      <c r="B6310" s="3" t="s">
        <v>3994</v>
      </c>
      <c r="C6310" s="3" t="s">
        <v>6438</v>
      </c>
      <c r="D6310" s="4" t="str">
        <f>HYPERLINK("https://12go.asia/en/travel/unnao-junction/lucknow-nr", "12Go Link")</f>
        <v>12Go Link</v>
      </c>
      <c r="E6310" s="3" t="s">
        <v>94</v>
      </c>
      <c r="K6310" s="5"/>
    </row>
    <row r="6311">
      <c r="A6311" s="3" t="s">
        <v>6435</v>
      </c>
      <c r="B6311" s="3" t="s">
        <v>3994</v>
      </c>
      <c r="C6311" s="3" t="s">
        <v>6439</v>
      </c>
      <c r="D6311" s="4" t="str">
        <f>HYPERLINK("https://12go.asia/en/travel/unnao/lucknow", "12Go Link")</f>
        <v>12Go Link</v>
      </c>
      <c r="E6311" s="3" t="s">
        <v>94</v>
      </c>
      <c r="K6311" s="5"/>
    </row>
    <row r="6312">
      <c r="A6312" s="3" t="s">
        <v>6440</v>
      </c>
      <c r="B6312" s="3" t="s">
        <v>3690</v>
      </c>
      <c r="C6312" s="3" t="s">
        <v>6441</v>
      </c>
      <c r="D6312" s="4" t="str">
        <f>HYPERLINK("https://12go.asia/en/travel/uruli/mumbai-cst", "12Go Link")</f>
        <v>12Go Link</v>
      </c>
      <c r="E6312" s="3" t="s">
        <v>94</v>
      </c>
      <c r="K6312" s="5"/>
    </row>
    <row r="6313">
      <c r="A6313" s="3" t="s">
        <v>4218</v>
      </c>
      <c r="B6313" s="3" t="s">
        <v>4116</v>
      </c>
      <c r="C6313" s="3" t="s">
        <v>6442</v>
      </c>
      <c r="D6313" s="4" t="str">
        <f>HYPERLINK("https://12go.asia/en/travel/ragaul/raipur-jn", "12Go Link")</f>
        <v>12Go Link</v>
      </c>
      <c r="E6313" s="3" t="s">
        <v>94</v>
      </c>
      <c r="K6313" s="5"/>
    </row>
    <row r="6314">
      <c r="A6314" s="3" t="s">
        <v>4218</v>
      </c>
      <c r="B6314" s="3" t="s">
        <v>3986</v>
      </c>
      <c r="C6314" s="3" t="s">
        <v>6443</v>
      </c>
      <c r="D6314" s="4" t="str">
        <f>HYPERLINK("https://12go.asia/en/travel/farrukhabad/jaipur", "12Go Link")</f>
        <v>12Go Link</v>
      </c>
      <c r="E6314" s="3" t="s">
        <v>94</v>
      </c>
      <c r="K6314" s="5"/>
    </row>
    <row r="6315">
      <c r="A6315" s="3" t="s">
        <v>4218</v>
      </c>
      <c r="B6315" s="3" t="s">
        <v>3994</v>
      </c>
      <c r="C6315" s="3" t="s">
        <v>6444</v>
      </c>
      <c r="D6315" s="4" t="str">
        <f>HYPERLINK("https://12go.asia/en/travel/chopan/lucknow-nr", "12Go Link")</f>
        <v>12Go Link</v>
      </c>
      <c r="E6315" s="3" t="s">
        <v>94</v>
      </c>
      <c r="K6315" s="5"/>
    </row>
    <row r="6316">
      <c r="A6316" s="3" t="s">
        <v>4218</v>
      </c>
      <c r="B6316" s="3" t="s">
        <v>3690</v>
      </c>
      <c r="C6316" s="3" t="s">
        <v>6445</v>
      </c>
      <c r="D6316" s="4" t="str">
        <f>HYPERLINK("https://12go.asia/en/travel/bhatni-jn/lokmanya-tilak-term", "12Go Link")</f>
        <v>12Go Link</v>
      </c>
      <c r="E6316" s="3" t="s">
        <v>94</v>
      </c>
      <c r="K6316" s="5"/>
    </row>
    <row r="6317">
      <c r="A6317" s="3" t="s">
        <v>4218</v>
      </c>
      <c r="B6317" s="3" t="s">
        <v>3666</v>
      </c>
      <c r="C6317" s="3" t="s">
        <v>6446</v>
      </c>
      <c r="D6317" s="4" t="str">
        <f>HYPERLINK("https://12go.asia/en/travel/salempur-junction/banaras", "12Go Link")</f>
        <v>12Go Link</v>
      </c>
      <c r="E6317" s="3" t="s">
        <v>94</v>
      </c>
      <c r="K6317" s="5"/>
    </row>
    <row r="6318">
      <c r="A6318" s="3" t="s">
        <v>4218</v>
      </c>
      <c r="B6318" s="3" t="s">
        <v>3666</v>
      </c>
      <c r="C6318" s="3" t="s">
        <v>6447</v>
      </c>
      <c r="D6318" s="4" t="str">
        <f>HYPERLINK("https://12go.asia/en/travel/salempur-junction/varanasi-jn", "12Go Link")</f>
        <v>12Go Link</v>
      </c>
      <c r="E6318" s="3" t="s">
        <v>94</v>
      </c>
      <c r="K6318" s="5"/>
    </row>
    <row r="6319">
      <c r="A6319" s="3" t="s">
        <v>186</v>
      </c>
      <c r="B6319" s="3" t="s">
        <v>3965</v>
      </c>
      <c r="C6319" s="3" t="s">
        <v>6448</v>
      </c>
      <c r="D6319" s="4" t="str">
        <f>HYPERLINK("https://12go.asia/en/travel/vadodara/ajmer-jn", "12Go Link")</f>
        <v>12Go Link</v>
      </c>
      <c r="E6319" s="3" t="s">
        <v>94</v>
      </c>
      <c r="K6319" s="5"/>
    </row>
    <row r="6320">
      <c r="A6320" s="3" t="s">
        <v>186</v>
      </c>
      <c r="B6320" s="3" t="s">
        <v>6449</v>
      </c>
      <c r="C6320" s="3" t="s">
        <v>6450</v>
      </c>
      <c r="D6320" s="4" t="str">
        <f>HYPERLINK("https://12go.asia/en/travel/vadodara/amalner", "12Go Link")</f>
        <v>12Go Link</v>
      </c>
      <c r="E6320" s="3" t="s">
        <v>94</v>
      </c>
      <c r="K6320" s="5"/>
    </row>
    <row r="6321">
      <c r="A6321" s="3" t="s">
        <v>186</v>
      </c>
      <c r="B6321" s="3" t="s">
        <v>4116</v>
      </c>
      <c r="C6321" s="3" t="s">
        <v>6451</v>
      </c>
      <c r="D6321" s="4" t="str">
        <f>HYPERLINK("https://12go.asia/en/travel/vadodara/chhattisgarh", "12Go Link")</f>
        <v>12Go Link</v>
      </c>
      <c r="E6321" s="3" t="s">
        <v>94</v>
      </c>
      <c r="K6321" s="5"/>
    </row>
    <row r="6322">
      <c r="A6322" s="3" t="s">
        <v>186</v>
      </c>
      <c r="B6322" s="3" t="s">
        <v>4116</v>
      </c>
      <c r="C6322" s="3" t="s">
        <v>6452</v>
      </c>
      <c r="D6322" s="4" t="str">
        <f>HYPERLINK("https://12go.asia/en/travel/vadodara/raipur-jn", "12Go Link")</f>
        <v>12Go Link</v>
      </c>
      <c r="E6322" s="3" t="s">
        <v>94</v>
      </c>
      <c r="K6322" s="5"/>
    </row>
    <row r="6323">
      <c r="A6323" s="3" t="s">
        <v>186</v>
      </c>
      <c r="B6323" s="3" t="s">
        <v>4396</v>
      </c>
      <c r="C6323" s="3" t="s">
        <v>6453</v>
      </c>
      <c r="D6323" s="4" t="str">
        <f>HYPERLINK("https://12go.asia/en/travel/vadodara/gwalior", "12Go Link")</f>
        <v>12Go Link</v>
      </c>
      <c r="E6323" s="3" t="s">
        <v>94</v>
      </c>
      <c r="K6323" s="5"/>
    </row>
    <row r="6324">
      <c r="A6324" s="3" t="s">
        <v>186</v>
      </c>
      <c r="B6324" s="3" t="s">
        <v>4396</v>
      </c>
      <c r="C6324" s="3" t="s">
        <v>6454</v>
      </c>
      <c r="D6324" s="4" t="str">
        <f>HYPERLINK("https://12go.asia/en/travel/vadodara/gwalior-jn", "12Go Link")</f>
        <v>12Go Link</v>
      </c>
      <c r="E6324" s="3" t="s">
        <v>94</v>
      </c>
      <c r="K6324" s="5"/>
    </row>
    <row r="6325">
      <c r="A6325" s="3" t="s">
        <v>186</v>
      </c>
      <c r="B6325" s="3" t="s">
        <v>5651</v>
      </c>
      <c r="C6325" s="3" t="s">
        <v>6455</v>
      </c>
      <c r="D6325" s="4" t="str">
        <f>HYPERLINK("https://12go.asia/en/travel/vadodara/nadiad-junction", "12Go Link")</f>
        <v>12Go Link</v>
      </c>
      <c r="E6325" s="3" t="s">
        <v>94</v>
      </c>
      <c r="K6325" s="5"/>
    </row>
    <row r="6326">
      <c r="A6326" s="3" t="s">
        <v>6456</v>
      </c>
      <c r="B6326" s="3" t="s">
        <v>3847</v>
      </c>
      <c r="C6326" s="3" t="s">
        <v>6457</v>
      </c>
      <c r="D6326" s="4" t="str">
        <f>HYPERLINK("https://12go.asia/en/travel/vaniyambadi/bangalore", "12Go Link")</f>
        <v>12Go Link</v>
      </c>
      <c r="E6326" s="3" t="s">
        <v>94</v>
      </c>
      <c r="K6326" s="5"/>
    </row>
    <row r="6327">
      <c r="A6327" s="3" t="s">
        <v>6456</v>
      </c>
      <c r="B6327" s="3" t="s">
        <v>3847</v>
      </c>
      <c r="C6327" s="3" t="s">
        <v>6458</v>
      </c>
      <c r="D6327" s="4" t="str">
        <f>HYPERLINK("https://12go.asia/en/travel/vaniyambadi/ksr-bangalore", "12Go Link")</f>
        <v>12Go Link</v>
      </c>
      <c r="E6327" s="3" t="s">
        <v>94</v>
      </c>
      <c r="K6327" s="5"/>
    </row>
    <row r="6328">
      <c r="A6328" s="3" t="s">
        <v>6456</v>
      </c>
      <c r="B6328" s="3" t="s">
        <v>3847</v>
      </c>
      <c r="C6328" s="3" t="s">
        <v>6459</v>
      </c>
      <c r="D6328" s="4" t="str">
        <f>HYPERLINK("https://12go.asia/en/travel/vaniyambadi/new-bengaluru-terminal", "12Go Link")</f>
        <v>12Go Link</v>
      </c>
      <c r="E6328" s="3" t="s">
        <v>94</v>
      </c>
      <c r="K6328" s="5"/>
    </row>
    <row r="6329">
      <c r="A6329" s="3" t="s">
        <v>4026</v>
      </c>
      <c r="B6329" s="3" t="s">
        <v>3939</v>
      </c>
      <c r="C6329" s="3" t="s">
        <v>6460</v>
      </c>
      <c r="D6329" s="4" t="str">
        <f>HYPERLINK("https://12go.asia/en/travel/vapi/chandigarh", "12Go Link")</f>
        <v>12Go Link</v>
      </c>
      <c r="E6329" s="3" t="s">
        <v>94</v>
      </c>
      <c r="K6329" s="5"/>
    </row>
    <row r="6330">
      <c r="A6330" s="3" t="s">
        <v>3666</v>
      </c>
      <c r="B6330" s="3" t="s">
        <v>3965</v>
      </c>
      <c r="C6330" s="3" t="s">
        <v>6461</v>
      </c>
      <c r="D6330" s="4" t="str">
        <f>HYPERLINK("https://12go.asia/en/travel/mughal-sarai-junction/ajmer-jn", "12Go Link")</f>
        <v>12Go Link</v>
      </c>
      <c r="E6330" s="3" t="s">
        <v>94</v>
      </c>
      <c r="K6330" s="5"/>
    </row>
    <row r="6331">
      <c r="A6331" s="3" t="s">
        <v>3666</v>
      </c>
      <c r="B6331" s="3" t="s">
        <v>4000</v>
      </c>
      <c r="C6331" s="3" t="s">
        <v>6462</v>
      </c>
      <c r="D6331" s="4" t="str">
        <f>HYPERLINK("https://12go.asia/en/travel/mughal-sarai-junction/bhagalpur", "12Go Link")</f>
        <v>12Go Link</v>
      </c>
      <c r="E6331" s="3" t="s">
        <v>94</v>
      </c>
      <c r="K6331" s="5"/>
    </row>
    <row r="6332">
      <c r="A6332" s="3" t="s">
        <v>3666</v>
      </c>
      <c r="B6332" s="3" t="s">
        <v>4000</v>
      </c>
      <c r="C6332" s="3" t="s">
        <v>6463</v>
      </c>
      <c r="D6332" s="4" t="str">
        <f>HYPERLINK("https://12go.asia/en/travel/varanasi/bhagalpur", "12Go Link")</f>
        <v>12Go Link</v>
      </c>
      <c r="E6332" s="3" t="s">
        <v>94</v>
      </c>
      <c r="K6332" s="5"/>
    </row>
    <row r="6333">
      <c r="A6333" s="3" t="s">
        <v>3666</v>
      </c>
      <c r="B6333" s="3" t="s">
        <v>4037</v>
      </c>
      <c r="C6333" s="3" t="s">
        <v>6464</v>
      </c>
      <c r="D6333" s="4" t="str">
        <f>HYPERLINK("https://12go.asia/en/travel/varanasi-jn/sant-hirdaram-nagar", "12Go Link")</f>
        <v>12Go Link</v>
      </c>
      <c r="E6333" s="3" t="s">
        <v>94</v>
      </c>
      <c r="K6333" s="5"/>
    </row>
    <row r="6334">
      <c r="A6334" s="3" t="s">
        <v>3666</v>
      </c>
      <c r="B6334" s="3" t="s">
        <v>4287</v>
      </c>
      <c r="C6334" s="3" t="s">
        <v>6465</v>
      </c>
      <c r="D6334" s="4" t="str">
        <f>HYPERLINK("https://12go.asia/en/travel/banaras/buxar", "12Go Link")</f>
        <v>12Go Link</v>
      </c>
      <c r="E6334" s="3" t="s">
        <v>94</v>
      </c>
      <c r="K6334" s="5"/>
    </row>
    <row r="6335">
      <c r="A6335" s="3" t="s">
        <v>3666</v>
      </c>
      <c r="B6335" s="3" t="s">
        <v>4287</v>
      </c>
      <c r="C6335" s="3" t="s">
        <v>6466</v>
      </c>
      <c r="D6335" s="4" t="str">
        <f>HYPERLINK("https://12go.asia/en/travel/mughal-sarai-junction/buxar", "12Go Link")</f>
        <v>12Go Link</v>
      </c>
      <c r="E6335" s="3" t="s">
        <v>94</v>
      </c>
      <c r="K6335" s="5"/>
    </row>
    <row r="6336">
      <c r="A6336" s="3" t="s">
        <v>3666</v>
      </c>
      <c r="B6336" s="3" t="s">
        <v>4287</v>
      </c>
      <c r="C6336" s="3" t="s">
        <v>6467</v>
      </c>
      <c r="D6336" s="4" t="str">
        <f>HYPERLINK("https://12go.asia/en/travel/varanasi-jn/buxar", "12Go Link")</f>
        <v>12Go Link</v>
      </c>
      <c r="E6336" s="3" t="s">
        <v>94</v>
      </c>
      <c r="K6336" s="5"/>
    </row>
    <row r="6337">
      <c r="A6337" s="3" t="s">
        <v>3666</v>
      </c>
      <c r="B6337" s="3" t="s">
        <v>4287</v>
      </c>
      <c r="C6337" s="3" t="s">
        <v>6468</v>
      </c>
      <c r="D6337" s="4" t="str">
        <f>HYPERLINK("https://12go.asia/en/travel/varanasi/buxar", "12Go Link")</f>
        <v>12Go Link</v>
      </c>
      <c r="E6337" s="3" t="s">
        <v>94</v>
      </c>
      <c r="K6337" s="5"/>
    </row>
    <row r="6338">
      <c r="A6338" s="3" t="s">
        <v>3666</v>
      </c>
      <c r="B6338" s="3" t="s">
        <v>3715</v>
      </c>
      <c r="C6338" s="3" t="s">
        <v>6469</v>
      </c>
      <c r="D6338" s="4" t="str">
        <f>HYPERLINK("https://12go.asia/en/travel/mughal-sarai-junction/perambur", "12Go Link")</f>
        <v>12Go Link</v>
      </c>
      <c r="E6338" s="3" t="s">
        <v>94</v>
      </c>
      <c r="K6338" s="5"/>
    </row>
    <row r="6339">
      <c r="A6339" s="3" t="s">
        <v>3666</v>
      </c>
      <c r="B6339" s="3" t="s">
        <v>3880</v>
      </c>
      <c r="C6339" s="3" t="s">
        <v>6470</v>
      </c>
      <c r="D6339" s="4" t="str">
        <f>HYPERLINK("https://12go.asia/en/travel/varanasi-jn/durg", "12Go Link")</f>
        <v>12Go Link</v>
      </c>
      <c r="E6339" s="3" t="s">
        <v>94</v>
      </c>
      <c r="K6339" s="5"/>
    </row>
    <row r="6340">
      <c r="A6340" s="3" t="s">
        <v>3666</v>
      </c>
      <c r="B6340" s="3" t="s">
        <v>3880</v>
      </c>
      <c r="C6340" s="3" t="s">
        <v>6471</v>
      </c>
      <c r="D6340" s="4" t="str">
        <f>HYPERLINK("https://12go.asia/en/travel/varanasi/durg", "12Go Link")</f>
        <v>12Go Link</v>
      </c>
      <c r="E6340" s="3" t="s">
        <v>94</v>
      </c>
      <c r="K6340" s="5"/>
    </row>
    <row r="6341">
      <c r="A6341" s="3" t="s">
        <v>3666</v>
      </c>
      <c r="B6341" s="3" t="s">
        <v>4694</v>
      </c>
      <c r="C6341" s="3" t="s">
        <v>6472</v>
      </c>
      <c r="D6341" s="4" t="str">
        <f>HYPERLINK("https://12go.asia/en/travel/banaras/ghazipur-city", "12Go Link")</f>
        <v>12Go Link</v>
      </c>
      <c r="E6341" s="3" t="s">
        <v>94</v>
      </c>
      <c r="K6341" s="5"/>
    </row>
    <row r="6342">
      <c r="A6342" s="3" t="s">
        <v>3666</v>
      </c>
      <c r="B6342" s="3" t="s">
        <v>4694</v>
      </c>
      <c r="C6342" s="3" t="s">
        <v>6473</v>
      </c>
      <c r="D6342" s="4" t="str">
        <f>HYPERLINK("https://12go.asia/en/travel/varanasi-jn/ghazipur-city", "12Go Link")</f>
        <v>12Go Link</v>
      </c>
      <c r="E6342" s="3" t="s">
        <v>94</v>
      </c>
      <c r="K6342" s="5"/>
    </row>
    <row r="6343">
      <c r="A6343" s="3" t="s">
        <v>3666</v>
      </c>
      <c r="B6343" s="3" t="s">
        <v>4694</v>
      </c>
      <c r="C6343" s="3" t="s">
        <v>6474</v>
      </c>
      <c r="D6343" s="4" t="str">
        <f>HYPERLINK("https://12go.asia/en/travel/varanasi/ghazipur", "12Go Link")</f>
        <v>12Go Link</v>
      </c>
      <c r="E6343" s="3" t="s">
        <v>94</v>
      </c>
      <c r="K6343" s="5"/>
    </row>
    <row r="6344">
      <c r="A6344" s="3" t="s">
        <v>3666</v>
      </c>
      <c r="B6344" s="3" t="s">
        <v>3801</v>
      </c>
      <c r="C6344" s="3" t="s">
        <v>6475</v>
      </c>
      <c r="D6344" s="4" t="str">
        <f>HYPERLINK("https://12go.asia/en/travel/mughal-sarai-junction/kamakhya", "12Go Link")</f>
        <v>12Go Link</v>
      </c>
      <c r="E6344" s="3" t="s">
        <v>94</v>
      </c>
      <c r="K6344" s="5"/>
    </row>
    <row r="6345">
      <c r="A6345" s="3" t="s">
        <v>3666</v>
      </c>
      <c r="B6345" s="3" t="s">
        <v>3704</v>
      </c>
      <c r="C6345" s="3" t="s">
        <v>6476</v>
      </c>
      <c r="D6345" s="4" t="str">
        <f>HYPERLINK("https://12go.asia/en/travel/banaras/sealdah", "12Go Link")</f>
        <v>12Go Link</v>
      </c>
      <c r="E6345" s="3" t="s">
        <v>94</v>
      </c>
      <c r="K6345" s="5"/>
    </row>
    <row r="6346">
      <c r="A6346" s="3" t="s">
        <v>3666</v>
      </c>
      <c r="B6346" s="3" t="s">
        <v>6477</v>
      </c>
      <c r="C6346" s="3" t="s">
        <v>6478</v>
      </c>
      <c r="D6346" s="4" t="str">
        <f>HYPERLINK("https://12go.asia/en/travel/banaras/maihar", "12Go Link")</f>
        <v>12Go Link</v>
      </c>
      <c r="E6346" s="3" t="s">
        <v>94</v>
      </c>
      <c r="K6346" s="5"/>
    </row>
    <row r="6347">
      <c r="A6347" s="3" t="s">
        <v>3666</v>
      </c>
      <c r="B6347" s="3" t="s">
        <v>6477</v>
      </c>
      <c r="C6347" s="3" t="s">
        <v>6479</v>
      </c>
      <c r="D6347" s="4" t="str">
        <f>HYPERLINK("https://12go.asia/en/travel/mughal-sarai-junction/maihar", "12Go Link")</f>
        <v>12Go Link</v>
      </c>
      <c r="E6347" s="3" t="s">
        <v>94</v>
      </c>
      <c r="K6347" s="5"/>
    </row>
    <row r="6348">
      <c r="A6348" s="3" t="s">
        <v>3666</v>
      </c>
      <c r="B6348" s="3" t="s">
        <v>6477</v>
      </c>
      <c r="C6348" s="3" t="s">
        <v>6480</v>
      </c>
      <c r="D6348" s="4" t="str">
        <f>HYPERLINK("https://12go.asia/en/travel/varanasi-jn/maihar", "12Go Link")</f>
        <v>12Go Link</v>
      </c>
      <c r="E6348" s="3" t="s">
        <v>94</v>
      </c>
      <c r="K6348" s="5"/>
    </row>
    <row r="6349">
      <c r="A6349" s="3" t="s">
        <v>3666</v>
      </c>
      <c r="B6349" s="3" t="s">
        <v>5585</v>
      </c>
      <c r="C6349" s="3" t="s">
        <v>6481</v>
      </c>
      <c r="D6349" s="4" t="str">
        <f>HYPERLINK("https://12go.asia/en/travel/varanasi-jn/manikpur-junction", "12Go Link")</f>
        <v>12Go Link</v>
      </c>
      <c r="E6349" s="3" t="s">
        <v>94</v>
      </c>
      <c r="K6349" s="5"/>
    </row>
    <row r="6350">
      <c r="A6350" s="3" t="s">
        <v>3666</v>
      </c>
      <c r="B6350" s="3" t="s">
        <v>5585</v>
      </c>
      <c r="C6350" s="3" t="s">
        <v>6482</v>
      </c>
      <c r="D6350" s="4" t="str">
        <f>HYPERLINK("https://12go.asia/en/travel/varanasi/manikpur", "12Go Link")</f>
        <v>12Go Link</v>
      </c>
      <c r="E6350" s="3" t="s">
        <v>94</v>
      </c>
      <c r="K6350" s="5"/>
    </row>
    <row r="6351">
      <c r="A6351" s="3" t="s">
        <v>3666</v>
      </c>
      <c r="B6351" s="3" t="s">
        <v>4530</v>
      </c>
      <c r="C6351" s="3" t="s">
        <v>6483</v>
      </c>
      <c r="D6351" s="4" t="str">
        <f>HYPERLINK("https://12go.asia/en/travel/banaras/muzaffarpur-junction", "12Go Link")</f>
        <v>12Go Link</v>
      </c>
      <c r="E6351" s="3" t="s">
        <v>94</v>
      </c>
      <c r="K6351" s="5"/>
    </row>
    <row r="6352">
      <c r="A6352" s="3" t="s">
        <v>3666</v>
      </c>
      <c r="B6352" s="3" t="s">
        <v>4530</v>
      </c>
      <c r="C6352" s="3" t="s">
        <v>6484</v>
      </c>
      <c r="D6352" s="4" t="str">
        <f>HYPERLINK("https://12go.asia/en/travel/mughal-sarai-junction/muzaffarpur-junction", "12Go Link")</f>
        <v>12Go Link</v>
      </c>
      <c r="E6352" s="3" t="s">
        <v>94</v>
      </c>
      <c r="K6352" s="5"/>
    </row>
    <row r="6353">
      <c r="A6353" s="3" t="s">
        <v>3666</v>
      </c>
      <c r="B6353" s="3" t="s">
        <v>4130</v>
      </c>
      <c r="C6353" s="3" t="s">
        <v>6485</v>
      </c>
      <c r="D6353" s="4" t="str">
        <f>HYPERLINK("https://12go.asia/en/travel/mughal-sarai-junction/puri", "12Go Link")</f>
        <v>12Go Link</v>
      </c>
      <c r="E6353" s="3" t="s">
        <v>94</v>
      </c>
      <c r="K6353" s="5"/>
    </row>
    <row r="6354">
      <c r="A6354" s="3" t="s">
        <v>3666</v>
      </c>
      <c r="B6354" s="3" t="s">
        <v>3972</v>
      </c>
      <c r="C6354" s="3" t="s">
        <v>6486</v>
      </c>
      <c r="D6354" s="4" t="str">
        <f>HYPERLINK("https://12go.asia/en/travel/varanasi/pushkar", "12Go Link")</f>
        <v>12Go Link</v>
      </c>
      <c r="E6354" s="3" t="s">
        <v>94</v>
      </c>
      <c r="K6354" s="5"/>
    </row>
    <row r="6355">
      <c r="A6355" s="3" t="s">
        <v>3666</v>
      </c>
      <c r="B6355" s="3" t="s">
        <v>6196</v>
      </c>
      <c r="C6355" s="3" t="s">
        <v>6487</v>
      </c>
      <c r="D6355" s="4" t="str">
        <f>HYPERLINK("https://12go.asia/en/travel/varanasi-jn/shri-mata-vaishno", "12Go Link")</f>
        <v>12Go Link</v>
      </c>
      <c r="E6355" s="3" t="s">
        <v>94</v>
      </c>
      <c r="K6355" s="5"/>
    </row>
    <row r="6356">
      <c r="A6356" s="3" t="s">
        <v>5254</v>
      </c>
      <c r="B6356" s="3" t="s">
        <v>3730</v>
      </c>
      <c r="C6356" s="3" t="s">
        <v>6488</v>
      </c>
      <c r="D6356" s="4" t="str">
        <f>HYPERLINK("https://12go.asia/en/travel/varkala/punkunnam", "12Go Link")</f>
        <v>12Go Link</v>
      </c>
      <c r="E6356" s="3" t="s">
        <v>94</v>
      </c>
      <c r="K6356" s="5"/>
    </row>
    <row r="6357">
      <c r="A6357" s="3" t="s">
        <v>5254</v>
      </c>
      <c r="B6357" s="3" t="s">
        <v>3730</v>
      </c>
      <c r="C6357" s="3" t="s">
        <v>6489</v>
      </c>
      <c r="D6357" s="4" t="str">
        <f>HYPERLINK("https://12go.asia/en/travel/varkala/sasthankotta", "12Go Link")</f>
        <v>12Go Link</v>
      </c>
      <c r="E6357" s="3" t="s">
        <v>94</v>
      </c>
      <c r="K6357" s="5"/>
    </row>
    <row r="6358">
      <c r="A6358" s="3" t="s">
        <v>3778</v>
      </c>
      <c r="B6358" s="3" t="s">
        <v>4610</v>
      </c>
      <c r="C6358" s="3" t="s">
        <v>6490</v>
      </c>
      <c r="D6358" s="4" t="str">
        <f>HYPERLINK("https://12go.asia/en/travel/vellore/vijayawada", "12Go Link")</f>
        <v>12Go Link</v>
      </c>
      <c r="E6358" s="3" t="s">
        <v>94</v>
      </c>
      <c r="K6358" s="5"/>
    </row>
    <row r="6359">
      <c r="A6359" s="3" t="s">
        <v>4083</v>
      </c>
      <c r="B6359" s="3" t="s">
        <v>3898</v>
      </c>
      <c r="C6359" s="3" t="s">
        <v>6491</v>
      </c>
      <c r="D6359" s="4" t="str">
        <f>HYPERLINK("https://12go.asia/en/travel/veraval/jabalpur", "12Go Link")</f>
        <v>12Go Link</v>
      </c>
      <c r="E6359" s="3" t="s">
        <v>94</v>
      </c>
      <c r="K6359" s="5"/>
    </row>
    <row r="6360">
      <c r="A6360" s="3" t="s">
        <v>4610</v>
      </c>
      <c r="B6360" s="3" t="s">
        <v>3710</v>
      </c>
      <c r="C6360" s="3" t="s">
        <v>6492</v>
      </c>
      <c r="D6360" s="4" t="str">
        <f>HYPERLINK("https://12go.asia/en/travel/vijayawada-jn/chirala", "12Go Link")</f>
        <v>12Go Link</v>
      </c>
      <c r="E6360" s="3" t="s">
        <v>94</v>
      </c>
      <c r="K6360" s="5"/>
    </row>
    <row r="6361">
      <c r="A6361" s="3" t="s">
        <v>4610</v>
      </c>
      <c r="B6361" s="3" t="s">
        <v>3723</v>
      </c>
      <c r="C6361" s="3" t="s">
        <v>6493</v>
      </c>
      <c r="D6361" s="4" t="str">
        <f>HYPERLINK("https://12go.asia/en/travel/vijayawada-jn/new-guntur", "12Go Link")</f>
        <v>12Go Link</v>
      </c>
      <c r="E6361" s="3" t="s">
        <v>94</v>
      </c>
      <c r="K6361" s="5"/>
    </row>
    <row r="6362">
      <c r="A6362" s="3" t="s">
        <v>4610</v>
      </c>
      <c r="B6362" s="3" t="s">
        <v>3780</v>
      </c>
      <c r="C6362" s="3" t="s">
        <v>6494</v>
      </c>
      <c r="D6362" s="4" t="str">
        <f>HYPERLINK("https://12go.asia/en/travel/vijayawada-jn/vizianagram-junction", "12Go Link")</f>
        <v>12Go Link</v>
      </c>
      <c r="E6362" s="3" t="s">
        <v>94</v>
      </c>
      <c r="K6362" s="5"/>
    </row>
    <row r="6363">
      <c r="A6363" s="3" t="s">
        <v>4996</v>
      </c>
      <c r="B6363" s="3" t="s">
        <v>3638</v>
      </c>
      <c r="C6363" s="3" t="s">
        <v>6495</v>
      </c>
      <c r="D6363" s="4" t="str">
        <f>HYPERLINK("https://12go.asia/en/travel/vikarabad-junction/hyderabad-decan", "12Go Link")</f>
        <v>12Go Link</v>
      </c>
      <c r="E6363" s="3" t="s">
        <v>94</v>
      </c>
      <c r="K6363" s="5"/>
    </row>
    <row r="6364">
      <c r="A6364" s="3" t="s">
        <v>4996</v>
      </c>
      <c r="B6364" s="3" t="s">
        <v>3638</v>
      </c>
      <c r="C6364" s="3" t="s">
        <v>6496</v>
      </c>
      <c r="D6364" s="4" t="str">
        <f>HYPERLINK("https://12go.asia/en/travel/vikarabad-junction/kacheguda", "12Go Link")</f>
        <v>12Go Link</v>
      </c>
      <c r="E6364" s="3" t="s">
        <v>94</v>
      </c>
      <c r="K6364" s="5"/>
    </row>
    <row r="6365">
      <c r="A6365" s="3" t="s">
        <v>4996</v>
      </c>
      <c r="B6365" s="3" t="s">
        <v>3638</v>
      </c>
      <c r="C6365" s="3" t="s">
        <v>6497</v>
      </c>
      <c r="D6365" s="4" t="str">
        <f>HYPERLINK("https://12go.asia/en/travel/vikarabad-junction/secunderabad", "12Go Link")</f>
        <v>12Go Link</v>
      </c>
      <c r="E6365" s="3" t="s">
        <v>94</v>
      </c>
      <c r="K6365" s="5"/>
    </row>
    <row r="6366">
      <c r="A6366" s="3" t="s">
        <v>4996</v>
      </c>
      <c r="B6366" s="3" t="s">
        <v>3638</v>
      </c>
      <c r="C6366" s="3" t="s">
        <v>6498</v>
      </c>
      <c r="D6366" s="4" t="str">
        <f>HYPERLINK("https://12go.asia/en/travel/vikarabad/hyderabad", "12Go Link")</f>
        <v>12Go Link</v>
      </c>
      <c r="E6366" s="3" t="s">
        <v>94</v>
      </c>
      <c r="K6366" s="5"/>
    </row>
    <row r="6367">
      <c r="A6367" s="3" t="s">
        <v>4650</v>
      </c>
      <c r="B6367" s="3" t="s">
        <v>3638</v>
      </c>
      <c r="C6367" s="3" t="s">
        <v>6499</v>
      </c>
      <c r="D6367" s="4" t="str">
        <f>HYPERLINK("https://12go.asia/en/travel/villuparam-junction/kacheguda", "12Go Link")</f>
        <v>12Go Link</v>
      </c>
      <c r="E6367" s="3" t="s">
        <v>94</v>
      </c>
      <c r="K6367" s="5"/>
    </row>
    <row r="6368">
      <c r="A6368" s="3" t="s">
        <v>4650</v>
      </c>
      <c r="B6368" s="3" t="s">
        <v>3638</v>
      </c>
      <c r="C6368" s="3" t="s">
        <v>6500</v>
      </c>
      <c r="D6368" s="4" t="str">
        <f>HYPERLINK("https://12go.asia/en/travel/villupuram/hyderabad", "12Go Link")</f>
        <v>12Go Link</v>
      </c>
      <c r="E6368" s="3" t="s">
        <v>94</v>
      </c>
      <c r="K6368" s="5"/>
    </row>
    <row r="6369">
      <c r="A6369" s="3" t="s">
        <v>4650</v>
      </c>
      <c r="B6369" s="3" t="s">
        <v>5633</v>
      </c>
      <c r="C6369" s="3" t="s">
        <v>6501</v>
      </c>
      <c r="D6369" s="4" t="str">
        <f>HYPERLINK("https://12go.asia/en/travel/villuparam-junction/mayiladuturai-jn", "12Go Link")</f>
        <v>12Go Link</v>
      </c>
      <c r="E6369" s="3" t="s">
        <v>94</v>
      </c>
      <c r="K6369" s="5"/>
    </row>
    <row r="6370">
      <c r="A6370" s="3" t="s">
        <v>4650</v>
      </c>
      <c r="B6370" s="3" t="s">
        <v>5633</v>
      </c>
      <c r="C6370" s="3" t="s">
        <v>6502</v>
      </c>
      <c r="D6370" s="4" t="str">
        <f>HYPERLINK("https://12go.asia/en/travel/villupuram/mayiladuthurai", "12Go Link")</f>
        <v>12Go Link</v>
      </c>
      <c r="E6370" s="3" t="s">
        <v>94</v>
      </c>
      <c r="K6370" s="5"/>
    </row>
    <row r="6371">
      <c r="A6371" s="3" t="s">
        <v>4650</v>
      </c>
      <c r="B6371" s="3" t="s">
        <v>3769</v>
      </c>
      <c r="C6371" s="3" t="s">
        <v>6503</v>
      </c>
      <c r="D6371" s="4" t="str">
        <f>HYPERLINK("https://12go.asia/en/travel/villuparam-junction/srirangam", "12Go Link")</f>
        <v>12Go Link</v>
      </c>
      <c r="E6371" s="3" t="s">
        <v>94</v>
      </c>
      <c r="K6371" s="5"/>
    </row>
    <row r="6372">
      <c r="A6372" s="3" t="s">
        <v>4650</v>
      </c>
      <c r="B6372" s="3" t="s">
        <v>3769</v>
      </c>
      <c r="C6372" s="3" t="s">
        <v>6504</v>
      </c>
      <c r="D6372" s="4" t="str">
        <f>HYPERLINK("https://12go.asia/en/travel/villupuram/srirangam", "12Go Link")</f>
        <v>12Go Link</v>
      </c>
      <c r="E6372" s="3" t="s">
        <v>94</v>
      </c>
      <c r="K6372" s="5"/>
    </row>
    <row r="6373">
      <c r="A6373" s="3" t="s">
        <v>4650</v>
      </c>
      <c r="B6373" s="3" t="s">
        <v>4143</v>
      </c>
      <c r="C6373" s="3" t="s">
        <v>6505</v>
      </c>
      <c r="D6373" s="4" t="str">
        <f>HYPERLINK("https://12go.asia/en/travel/villupuram/telangana", "12Go Link")</f>
        <v>12Go Link</v>
      </c>
      <c r="E6373" s="3" t="s">
        <v>94</v>
      </c>
      <c r="K6373" s="5"/>
    </row>
    <row r="6374">
      <c r="A6374" s="3" t="s">
        <v>4650</v>
      </c>
      <c r="B6374" s="3" t="s">
        <v>3694</v>
      </c>
      <c r="C6374" s="3" t="s">
        <v>6506</v>
      </c>
      <c r="D6374" s="4" t="str">
        <f>HYPERLINK("https://12go.asia/en/travel/villuparam-junction/tiruchchirappalli-junction", "12Go Link")</f>
        <v>12Go Link</v>
      </c>
      <c r="E6374" s="3" t="s">
        <v>94</v>
      </c>
      <c r="K6374" s="5"/>
    </row>
    <row r="6375">
      <c r="A6375" s="3" t="s">
        <v>6507</v>
      </c>
      <c r="B6375" s="3" t="s">
        <v>3739</v>
      </c>
      <c r="C6375" s="3" t="s">
        <v>6508</v>
      </c>
      <c r="D6375" s="4" t="str">
        <f>HYPERLINK("https://12go.asia/en/travel/vindhyachal/mughalsarai", "12Go Link")</f>
        <v>12Go Link</v>
      </c>
      <c r="E6375" s="3" t="s">
        <v>94</v>
      </c>
      <c r="K6375" s="5"/>
    </row>
    <row r="6376">
      <c r="A6376" s="3" t="s">
        <v>6509</v>
      </c>
      <c r="B6376" s="3" t="s">
        <v>4113</v>
      </c>
      <c r="C6376" s="3" t="s">
        <v>6510</v>
      </c>
      <c r="D6376" s="4" t="str">
        <f>HYPERLINK("https://12go.asia/en/travel/viramgam-junction/bandra-terminus", "12Go Link")</f>
        <v>12Go Link</v>
      </c>
      <c r="E6376" s="3" t="s">
        <v>94</v>
      </c>
      <c r="K6376" s="5"/>
    </row>
    <row r="6377">
      <c r="A6377" s="3" t="s">
        <v>6509</v>
      </c>
      <c r="B6377" s="3" t="s">
        <v>3682</v>
      </c>
      <c r="C6377" s="3" t="s">
        <v>6511</v>
      </c>
      <c r="D6377" s="4" t="str">
        <f>HYPERLINK("https://12go.asia/en/travel/viramgam-junction/kalyan-jn", "12Go Link")</f>
        <v>12Go Link</v>
      </c>
      <c r="E6377" s="3" t="s">
        <v>94</v>
      </c>
      <c r="K6377" s="5"/>
    </row>
    <row r="6378">
      <c r="A6378" s="3" t="s">
        <v>6509</v>
      </c>
      <c r="B6378" s="3" t="s">
        <v>3682</v>
      </c>
      <c r="C6378" s="3" t="s">
        <v>6512</v>
      </c>
      <c r="D6378" s="4" t="str">
        <f>HYPERLINK("https://12go.asia/en/travel/viramgam/kalyan", "12Go Link")</f>
        <v>12Go Link</v>
      </c>
      <c r="E6378" s="3" t="s">
        <v>94</v>
      </c>
      <c r="K6378" s="5"/>
    </row>
    <row r="6379">
      <c r="A6379" s="3" t="s">
        <v>6509</v>
      </c>
      <c r="B6379" s="3" t="s">
        <v>163</v>
      </c>
      <c r="C6379" s="3" t="s">
        <v>6513</v>
      </c>
      <c r="D6379" s="4" t="str">
        <f>HYPERLINK("https://12go.asia/en/travel/viramgam/maharashtra", "12Go Link")</f>
        <v>12Go Link</v>
      </c>
      <c r="E6379" s="3" t="s">
        <v>94</v>
      </c>
      <c r="K6379" s="5"/>
    </row>
    <row r="6380">
      <c r="A6380" s="3" t="s">
        <v>6509</v>
      </c>
      <c r="B6380" s="3" t="s">
        <v>3690</v>
      </c>
      <c r="C6380" s="3" t="s">
        <v>6514</v>
      </c>
      <c r="D6380" s="4" t="str">
        <f>HYPERLINK("https://12go.asia/en/travel/viramgam-junction/mumbai-central", "12Go Link")</f>
        <v>12Go Link</v>
      </c>
      <c r="E6380" s="3" t="s">
        <v>94</v>
      </c>
      <c r="K6380" s="5"/>
    </row>
    <row r="6381">
      <c r="A6381" s="3" t="s">
        <v>6509</v>
      </c>
      <c r="B6381" s="3" t="s">
        <v>3690</v>
      </c>
      <c r="C6381" s="3" t="s">
        <v>6515</v>
      </c>
      <c r="D6381" s="4" t="str">
        <f>HYPERLINK("https://12go.asia/en/travel/viramgam-junction/mumbai-dadar", "12Go Link")</f>
        <v>12Go Link</v>
      </c>
      <c r="E6381" s="3" t="s">
        <v>94</v>
      </c>
      <c r="K6381" s="5"/>
    </row>
    <row r="6382">
      <c r="A6382" s="3" t="s">
        <v>6509</v>
      </c>
      <c r="B6382" s="3" t="s">
        <v>3690</v>
      </c>
      <c r="C6382" s="3" t="s">
        <v>6516</v>
      </c>
      <c r="D6382" s="4" t="str">
        <f>HYPERLINK("https://12go.asia/en/travel/viramgam/mumbai", "12Go Link")</f>
        <v>12Go Link</v>
      </c>
      <c r="E6382" s="3" t="s">
        <v>94</v>
      </c>
      <c r="K6382" s="5"/>
    </row>
    <row r="6383">
      <c r="A6383" s="3" t="s">
        <v>6509</v>
      </c>
      <c r="B6383" s="3" t="s">
        <v>3970</v>
      </c>
      <c r="C6383" s="3" t="s">
        <v>6517</v>
      </c>
      <c r="D6383" s="4" t="str">
        <f>HYPERLINK("https://12go.asia/en/travel/viramgam/navi-mumbai", "12Go Link")</f>
        <v>12Go Link</v>
      </c>
      <c r="E6383" s="3" t="s">
        <v>94</v>
      </c>
      <c r="K6383" s="5"/>
    </row>
    <row r="6384">
      <c r="A6384" s="3" t="s">
        <v>6509</v>
      </c>
      <c r="B6384" s="3" t="s">
        <v>5016</v>
      </c>
      <c r="C6384" s="3" t="s">
        <v>6518</v>
      </c>
      <c r="D6384" s="4" t="str">
        <f>HYPERLINK("https://12go.asia/en/travel/viramgam-junction/panvel", "12Go Link")</f>
        <v>12Go Link</v>
      </c>
      <c r="E6384" s="3" t="s">
        <v>94</v>
      </c>
      <c r="K6384" s="5"/>
    </row>
    <row r="6385">
      <c r="A6385" s="3" t="s">
        <v>6509</v>
      </c>
      <c r="B6385" s="3" t="s">
        <v>5016</v>
      </c>
      <c r="C6385" s="3" t="s">
        <v>6519</v>
      </c>
      <c r="D6385" s="4" t="str">
        <f>HYPERLINK("https://12go.asia/en/travel/viramgam/panvel", "12Go Link")</f>
        <v>12Go Link</v>
      </c>
      <c r="E6385" s="3" t="s">
        <v>94</v>
      </c>
      <c r="K6385" s="5"/>
    </row>
    <row r="6386">
      <c r="A6386" s="3" t="s">
        <v>4653</v>
      </c>
      <c r="B6386" s="3" t="s">
        <v>5633</v>
      </c>
      <c r="C6386" s="3" t="s">
        <v>6520</v>
      </c>
      <c r="D6386" s="4" t="str">
        <f>HYPERLINK("https://12go.asia/en/travel/virudunagar-junction/mayiladuturai-jn", "12Go Link")</f>
        <v>12Go Link</v>
      </c>
      <c r="E6386" s="3" t="s">
        <v>94</v>
      </c>
      <c r="K6386" s="5"/>
    </row>
    <row r="6387">
      <c r="A6387" s="3" t="s">
        <v>4653</v>
      </c>
      <c r="B6387" s="3" t="s">
        <v>5633</v>
      </c>
      <c r="C6387" s="3" t="s">
        <v>6521</v>
      </c>
      <c r="D6387" s="4" t="str">
        <f>HYPERLINK("https://12go.asia/en/travel/virudhunagar/mayiladuthurai", "12Go Link")</f>
        <v>12Go Link</v>
      </c>
      <c r="E6387" s="3" t="s">
        <v>94</v>
      </c>
      <c r="K6387" s="5"/>
    </row>
    <row r="6388">
      <c r="A6388" s="3" t="s">
        <v>4653</v>
      </c>
      <c r="B6388" s="3" t="s">
        <v>6522</v>
      </c>
      <c r="C6388" s="3" t="s">
        <v>6523</v>
      </c>
      <c r="D6388" s="4" t="str">
        <f>HYPERLINK("https://12go.asia/en/travel/virudhunagar/thiruchendur", "12Go Link")</f>
        <v>12Go Link</v>
      </c>
      <c r="E6388" s="3" t="s">
        <v>94</v>
      </c>
      <c r="K6388" s="5"/>
    </row>
    <row r="6389">
      <c r="A6389" s="3" t="s">
        <v>4653</v>
      </c>
      <c r="B6389" s="3" t="s">
        <v>6522</v>
      </c>
      <c r="C6389" s="3" t="s">
        <v>6524</v>
      </c>
      <c r="D6389" s="4" t="str">
        <f>HYPERLINK("https://12go.asia/en/travel/virudunagar-junction/tiruchendur", "12Go Link")</f>
        <v>12Go Link</v>
      </c>
      <c r="E6389" s="3" t="s">
        <v>94</v>
      </c>
      <c r="K6389" s="5"/>
    </row>
    <row r="6390">
      <c r="A6390" s="3" t="s">
        <v>4030</v>
      </c>
      <c r="B6390" s="3" t="s">
        <v>3598</v>
      </c>
      <c r="C6390" s="3" t="s">
        <v>6525</v>
      </c>
      <c r="D6390" s="4" t="str">
        <f>HYPERLINK("https://12go.asia/en/travel/visakhapatnam/agra", "12Go Link")</f>
        <v>12Go Link</v>
      </c>
      <c r="E6390" s="3" t="s">
        <v>94</v>
      </c>
      <c r="K6390" s="5"/>
    </row>
    <row r="6391">
      <c r="A6391" s="3" t="s">
        <v>4030</v>
      </c>
      <c r="B6391" s="3" t="s">
        <v>3598</v>
      </c>
      <c r="C6391" s="3" t="s">
        <v>6526</v>
      </c>
      <c r="D6391" s="4" t="str">
        <f>HYPERLINK("https://12go.asia/en/travel/visakhapatnam/agra-cantt", "12Go Link")</f>
        <v>12Go Link</v>
      </c>
      <c r="E6391" s="3" t="s">
        <v>94</v>
      </c>
      <c r="K6391" s="5"/>
    </row>
    <row r="6392">
      <c r="A6392" s="3" t="s">
        <v>4030</v>
      </c>
      <c r="B6392" s="3" t="s">
        <v>3712</v>
      </c>
      <c r="C6392" s="3" t="s">
        <v>6527</v>
      </c>
      <c r="D6392" s="4" t="str">
        <f>HYPERLINK("https://12go.asia/en/travel/visakhapatnam/amadalavalasa", "12Go Link")</f>
        <v>12Go Link</v>
      </c>
      <c r="E6392" s="3" t="s">
        <v>94</v>
      </c>
      <c r="K6392" s="5"/>
    </row>
    <row r="6393">
      <c r="A6393" s="3" t="s">
        <v>4030</v>
      </c>
      <c r="B6393" s="3" t="s">
        <v>3710</v>
      </c>
      <c r="C6393" s="3" t="s">
        <v>6528</v>
      </c>
      <c r="D6393" s="4" t="str">
        <f>HYPERLINK("https://12go.asia/en/travel/visakhapatnam/akividu", "12Go Link")</f>
        <v>12Go Link</v>
      </c>
      <c r="E6393" s="3" t="s">
        <v>94</v>
      </c>
      <c r="K6393" s="5"/>
    </row>
    <row r="6394">
      <c r="A6394" s="3" t="s">
        <v>4030</v>
      </c>
      <c r="B6394" s="3" t="s">
        <v>3800</v>
      </c>
      <c r="C6394" s="3" t="s">
        <v>6529</v>
      </c>
      <c r="D6394" s="4" t="str">
        <f>HYPERLINK("https://12go.asia/en/travel/visakhapatnam/assam", "12Go Link")</f>
        <v>12Go Link</v>
      </c>
      <c r="E6394" s="3" t="s">
        <v>94</v>
      </c>
      <c r="K6394" s="5"/>
    </row>
    <row r="6395">
      <c r="A6395" s="3" t="s">
        <v>4030</v>
      </c>
      <c r="B6395" s="3" t="s">
        <v>3821</v>
      </c>
      <c r="C6395" s="3" t="s">
        <v>6530</v>
      </c>
      <c r="D6395" s="4" t="str">
        <f>HYPERLINK("https://12go.asia/en/travel/visakhapatnam/balasore", "12Go Link")</f>
        <v>12Go Link</v>
      </c>
      <c r="E6395" s="3" t="s">
        <v>94</v>
      </c>
      <c r="K6395" s="5"/>
    </row>
    <row r="6396">
      <c r="A6396" s="3" t="s">
        <v>4030</v>
      </c>
      <c r="B6396" s="3" t="s">
        <v>3892</v>
      </c>
      <c r="C6396" s="3" t="s">
        <v>6531</v>
      </c>
      <c r="D6396" s="4" t="str">
        <f>HYPERLINK("https://12go.asia/en/travel/visakhapatnam/gopalpur-odisha", "12Go Link")</f>
        <v>12Go Link</v>
      </c>
      <c r="E6396" s="3" t="s">
        <v>94</v>
      </c>
      <c r="K6396" s="5"/>
    </row>
    <row r="6397">
      <c r="A6397" s="3" t="s">
        <v>4030</v>
      </c>
      <c r="B6397" s="3" t="s">
        <v>3728</v>
      </c>
      <c r="C6397" s="3" t="s">
        <v>6532</v>
      </c>
      <c r="D6397" s="4" t="str">
        <f>HYPERLINK("https://12go.asia/en/travel/visakhapatnam/katpadi", "12Go Link")</f>
        <v>12Go Link</v>
      </c>
      <c r="E6397" s="3" t="s">
        <v>94</v>
      </c>
      <c r="K6397" s="5"/>
    </row>
    <row r="6398">
      <c r="A6398" s="3" t="s">
        <v>4030</v>
      </c>
      <c r="B6398" s="3" t="s">
        <v>3728</v>
      </c>
      <c r="C6398" s="3" t="s">
        <v>6533</v>
      </c>
      <c r="D6398" s="4" t="str">
        <f>HYPERLINK("https://12go.asia/en/travel/visakhapatnam/katpadi-junction", "12Go Link")</f>
        <v>12Go Link</v>
      </c>
      <c r="E6398" s="3" t="s">
        <v>94</v>
      </c>
      <c r="K6398" s="5"/>
    </row>
    <row r="6399">
      <c r="A6399" s="3" t="s">
        <v>4030</v>
      </c>
      <c r="B6399" s="3" t="s">
        <v>165</v>
      </c>
      <c r="C6399" s="3" t="s">
        <v>6534</v>
      </c>
      <c r="D6399" s="4" t="str">
        <f>HYPERLINK("https://12go.asia/en/travel/visakhapatnam/margao", "12Go Link")</f>
        <v>12Go Link</v>
      </c>
      <c r="E6399" s="3" t="s">
        <v>94</v>
      </c>
      <c r="K6399" s="5"/>
    </row>
    <row r="6400">
      <c r="A6400" s="3" t="s">
        <v>4030</v>
      </c>
      <c r="B6400" s="3" t="s">
        <v>3739</v>
      </c>
      <c r="C6400" s="3" t="s">
        <v>6535</v>
      </c>
      <c r="D6400" s="4" t="str">
        <f>HYPERLINK("https://12go.asia/en/travel/visakhapatnam/mughalsarai", "12Go Link")</f>
        <v>12Go Link</v>
      </c>
      <c r="E6400" s="3" t="s">
        <v>94</v>
      </c>
      <c r="K6400" s="5"/>
    </row>
    <row r="6401">
      <c r="A6401" s="3" t="s">
        <v>4030</v>
      </c>
      <c r="B6401" s="3" t="s">
        <v>6164</v>
      </c>
      <c r="C6401" s="3" t="s">
        <v>6536</v>
      </c>
      <c r="D6401" s="4" t="str">
        <f>HYPERLINK("https://12go.asia/en/travel/visakhapatnam/parvatipuram", "12Go Link")</f>
        <v>12Go Link</v>
      </c>
      <c r="E6401" s="3" t="s">
        <v>94</v>
      </c>
      <c r="K6401" s="5"/>
    </row>
    <row r="6402">
      <c r="A6402" s="3" t="s">
        <v>4030</v>
      </c>
      <c r="B6402" s="3" t="s">
        <v>3771</v>
      </c>
      <c r="C6402" s="3" t="s">
        <v>6537</v>
      </c>
      <c r="D6402" s="4" t="str">
        <f>HYPERLINK("https://12go.asia/en/travel/visakhapatnam/taj-mahal", "12Go Link")</f>
        <v>12Go Link</v>
      </c>
      <c r="E6402" s="3" t="s">
        <v>94</v>
      </c>
      <c r="K6402" s="5"/>
    </row>
    <row r="6403">
      <c r="A6403" s="3" t="s">
        <v>4030</v>
      </c>
      <c r="B6403" s="3" t="s">
        <v>3666</v>
      </c>
      <c r="C6403" s="3" t="s">
        <v>6538</v>
      </c>
      <c r="D6403" s="4" t="str">
        <f>HYPERLINK("https://12go.asia/en/travel/visakhapatnam/mughal-sarai-junction", "12Go Link")</f>
        <v>12Go Link</v>
      </c>
      <c r="E6403" s="3" t="s">
        <v>94</v>
      </c>
      <c r="K6403" s="5"/>
    </row>
    <row r="6404">
      <c r="A6404" s="3" t="s">
        <v>4030</v>
      </c>
      <c r="B6404" s="3" t="s">
        <v>3778</v>
      </c>
      <c r="C6404" s="3" t="s">
        <v>6539</v>
      </c>
      <c r="D6404" s="4" t="str">
        <f>HYPERLINK("https://12go.asia/en/travel/visakhapatnam/vellore", "12Go Link")</f>
        <v>12Go Link</v>
      </c>
      <c r="E6404" s="3" t="s">
        <v>94</v>
      </c>
      <c r="K6404" s="5"/>
    </row>
    <row r="6405">
      <c r="A6405" s="3" t="s">
        <v>3780</v>
      </c>
      <c r="B6405" s="3" t="s">
        <v>4130</v>
      </c>
      <c r="C6405" s="3" t="s">
        <v>6540</v>
      </c>
      <c r="D6405" s="4" t="str">
        <f>HYPERLINK("https://12go.asia/en/travel/vizianagram-junction/puri", "12Go Link")</f>
        <v>12Go Link</v>
      </c>
      <c r="E6405" s="3" t="s">
        <v>94</v>
      </c>
      <c r="K6405" s="5"/>
    </row>
    <row r="6406">
      <c r="A6406" s="3" t="s">
        <v>3780</v>
      </c>
      <c r="B6406" s="3" t="s">
        <v>4130</v>
      </c>
      <c r="C6406" s="3" t="s">
        <v>6541</v>
      </c>
      <c r="D6406" s="4" t="str">
        <f>HYPERLINK("https://12go.asia/en/travel/vizianagram/puri", "12Go Link")</f>
        <v>12Go Link</v>
      </c>
      <c r="E6406" s="3" t="s">
        <v>94</v>
      </c>
      <c r="K6406" s="5"/>
    </row>
    <row r="6407">
      <c r="A6407" s="3" t="s">
        <v>3780</v>
      </c>
      <c r="B6407" s="3" t="s">
        <v>3582</v>
      </c>
      <c r="C6407" s="3" t="s">
        <v>6542</v>
      </c>
      <c r="D6407" s="4" t="str">
        <f>HYPERLINK("https://12go.asia/en/travel/vizianagram-junction/tirupati", "12Go Link")</f>
        <v>12Go Link</v>
      </c>
      <c r="E6407" s="3" t="s">
        <v>94</v>
      </c>
      <c r="K6407" s="5"/>
    </row>
    <row r="6408">
      <c r="A6408" s="3" t="s">
        <v>4374</v>
      </c>
      <c r="B6408" s="3" t="s">
        <v>4277</v>
      </c>
      <c r="C6408" s="3" t="s">
        <v>6543</v>
      </c>
      <c r="D6408" s="4" t="str">
        <f>HYPERLINK("https://12go.asia/en/travel/vriddhachalam-junction/coimbatore", "12Go Link")</f>
        <v>12Go Link</v>
      </c>
      <c r="E6408" s="3" t="s">
        <v>94</v>
      </c>
      <c r="K6408" s="5"/>
    </row>
    <row r="6409">
      <c r="A6409" s="3" t="s">
        <v>4374</v>
      </c>
      <c r="B6409" s="3" t="s">
        <v>4367</v>
      </c>
      <c r="C6409" s="3" t="s">
        <v>6544</v>
      </c>
      <c r="D6409" s="4" t="str">
        <f>HYPERLINK("https://12go.asia/en/travel/vridhachalam/tamil-nadu", "12Go Link")</f>
        <v>12Go Link</v>
      </c>
      <c r="E6409" s="3" t="s">
        <v>94</v>
      </c>
      <c r="K6409" s="5"/>
    </row>
    <row r="6410">
      <c r="A6410" s="3" t="s">
        <v>189</v>
      </c>
      <c r="B6410" s="3" t="s">
        <v>3826</v>
      </c>
      <c r="C6410" s="3" t="s">
        <v>6545</v>
      </c>
      <c r="D6410" s="4" t="str">
        <f>HYPERLINK("https://12go.asia/en/travel/vrindavan/ballabgarh", "12Go Link")</f>
        <v>12Go Link</v>
      </c>
      <c r="E6410" s="3" t="s">
        <v>94</v>
      </c>
      <c r="K6410" s="5"/>
    </row>
    <row r="6411">
      <c r="A6411" s="3" t="s">
        <v>189</v>
      </c>
      <c r="B6411" s="3" t="s">
        <v>3827</v>
      </c>
      <c r="C6411" s="3" t="s">
        <v>6546</v>
      </c>
      <c r="D6411" s="4" t="str">
        <f>HYPERLINK("https://12go.asia/en/travel/vrindavan/bharatpur-rajasthan", "12Go Link")</f>
        <v>12Go Link</v>
      </c>
      <c r="E6411" s="3" t="s">
        <v>94</v>
      </c>
      <c r="K6411" s="5"/>
    </row>
    <row r="6412">
      <c r="A6412" s="3" t="s">
        <v>189</v>
      </c>
      <c r="B6412" s="3" t="s">
        <v>4384</v>
      </c>
      <c r="C6412" s="3" t="s">
        <v>6547</v>
      </c>
      <c r="D6412" s="4" t="str">
        <f>HYPERLINK("https://12go.asia/en/travel/vrindavan/gorakhpur", "12Go Link")</f>
        <v>12Go Link</v>
      </c>
      <c r="E6412" s="3" t="s">
        <v>94</v>
      </c>
      <c r="K6412" s="5"/>
    </row>
    <row r="6413">
      <c r="A6413" s="3" t="s">
        <v>189</v>
      </c>
      <c r="B6413" s="3" t="s">
        <v>3726</v>
      </c>
      <c r="C6413" s="3" t="s">
        <v>6548</v>
      </c>
      <c r="D6413" s="4" t="str">
        <f>HYPERLINK("https://12go.asia/en/travel/vrindavan/habibganj", "12Go Link")</f>
        <v>12Go Link</v>
      </c>
      <c r="E6413" s="3" t="s">
        <v>94</v>
      </c>
      <c r="K6413" s="5"/>
    </row>
    <row r="6414">
      <c r="A6414" s="3" t="s">
        <v>189</v>
      </c>
      <c r="B6414" s="3" t="s">
        <v>3970</v>
      </c>
      <c r="C6414" s="3" t="s">
        <v>6549</v>
      </c>
      <c r="D6414" s="4" t="str">
        <f>HYPERLINK("https://12go.asia/en/travel/vrindavan/navi-mumbai", "12Go Link")</f>
        <v>12Go Link</v>
      </c>
      <c r="E6414" s="3" t="s">
        <v>94</v>
      </c>
      <c r="K6414" s="5"/>
    </row>
    <row r="6415">
      <c r="A6415" s="3" t="s">
        <v>189</v>
      </c>
      <c r="B6415" s="3" t="s">
        <v>3752</v>
      </c>
      <c r="C6415" s="3" t="s">
        <v>6550</v>
      </c>
      <c r="D6415" s="4" t="str">
        <f>HYPERLINK("https://12go.asia/en/travel/vrindavan/prayagraj", "12Go Link")</f>
        <v>12Go Link</v>
      </c>
      <c r="E6415" s="3" t="s">
        <v>94</v>
      </c>
      <c r="K6415" s="5"/>
    </row>
    <row r="6416">
      <c r="A6416" s="3" t="s">
        <v>189</v>
      </c>
      <c r="B6416" s="3" t="s">
        <v>4130</v>
      </c>
      <c r="C6416" s="3" t="s">
        <v>6551</v>
      </c>
      <c r="D6416" s="4" t="str">
        <f>HYPERLINK("https://12go.asia/en/travel/vrindavan/puri", "12Go Link")</f>
        <v>12Go Link</v>
      </c>
      <c r="E6416" s="3" t="s">
        <v>94</v>
      </c>
      <c r="K6416" s="5"/>
    </row>
    <row r="6417">
      <c r="A6417" s="3" t="s">
        <v>189</v>
      </c>
      <c r="B6417" s="3" t="s">
        <v>4198</v>
      </c>
      <c r="C6417" s="3" t="s">
        <v>6552</v>
      </c>
      <c r="D6417" s="4" t="str">
        <f>HYPERLINK("https://12go.asia/en/travel/vrindavan/siwan", "12Go Link")</f>
        <v>12Go Link</v>
      </c>
      <c r="E6417" s="3" t="s">
        <v>94</v>
      </c>
      <c r="K6417" s="5"/>
    </row>
    <row r="6418">
      <c r="A6418" s="3" t="s">
        <v>4273</v>
      </c>
      <c r="B6418" s="3" t="s">
        <v>4026</v>
      </c>
      <c r="C6418" s="3" t="s">
        <v>6553</v>
      </c>
      <c r="D6418" s="4" t="str">
        <f>HYPERLINK("https://12go.asia/en/travel/vyara/vapi", "12Go Link")</f>
        <v>12Go Link</v>
      </c>
      <c r="E6418" s="3" t="s">
        <v>94</v>
      </c>
      <c r="K6418" s="5"/>
    </row>
    <row r="6419">
      <c r="A6419" s="3" t="s">
        <v>3782</v>
      </c>
      <c r="B6419" s="3" t="s">
        <v>3847</v>
      </c>
      <c r="C6419" s="3" t="s">
        <v>6554</v>
      </c>
      <c r="D6419" s="4" t="str">
        <f>HYPERLINK("https://12go.asia/en/travel/kazipet-junction/ksr-bangalore", "12Go Link")</f>
        <v>12Go Link</v>
      </c>
      <c r="E6419" s="3" t="s">
        <v>94</v>
      </c>
      <c r="K6419" s="5"/>
    </row>
    <row r="6420">
      <c r="A6420" s="3" t="s">
        <v>3782</v>
      </c>
      <c r="B6420" s="3" t="s">
        <v>3715</v>
      </c>
      <c r="C6420" s="3" t="s">
        <v>6555</v>
      </c>
      <c r="D6420" s="4" t="str">
        <f>HYPERLINK("https://12go.asia/en/travel/warangal/perambur", "12Go Link")</f>
        <v>12Go Link</v>
      </c>
      <c r="E6420" s="3" t="s">
        <v>94</v>
      </c>
      <c r="K6420" s="5"/>
    </row>
    <row r="6421">
      <c r="A6421" s="3" t="s">
        <v>3782</v>
      </c>
      <c r="B6421" s="3" t="s">
        <v>3986</v>
      </c>
      <c r="C6421" s="3" t="s">
        <v>6556</v>
      </c>
      <c r="D6421" s="4" t="str">
        <f>HYPERLINK("https://12go.asia/en/travel/warangal/jaipur", "12Go Link")</f>
        <v>12Go Link</v>
      </c>
      <c r="E6421" s="3" t="s">
        <v>94</v>
      </c>
      <c r="K6421" s="5"/>
    </row>
    <row r="6422">
      <c r="A6422" s="3" t="s">
        <v>3782</v>
      </c>
      <c r="B6422" s="3" t="s">
        <v>4959</v>
      </c>
      <c r="C6422" s="3" t="s">
        <v>6557</v>
      </c>
      <c r="D6422" s="4" t="str">
        <f>HYPERLINK("https://12go.asia/en/travel/warangal/khammam", "12Go Link")</f>
        <v>12Go Link</v>
      </c>
      <c r="E6422" s="3" t="s">
        <v>94</v>
      </c>
      <c r="K6422" s="5"/>
    </row>
    <row r="6423">
      <c r="A6423" s="3" t="s">
        <v>3782</v>
      </c>
      <c r="B6423" s="3" t="s">
        <v>3704</v>
      </c>
      <c r="C6423" s="3" t="s">
        <v>6558</v>
      </c>
      <c r="D6423" s="4" t="str">
        <f>HYPERLINK("https://12go.asia/en/travel/warangal/kolkata", "12Go Link")</f>
        <v>12Go Link</v>
      </c>
      <c r="E6423" s="3" t="s">
        <v>94</v>
      </c>
      <c r="K6423" s="5"/>
    </row>
    <row r="6424">
      <c r="A6424" s="3" t="s">
        <v>3782</v>
      </c>
      <c r="B6424" s="3" t="s">
        <v>3704</v>
      </c>
      <c r="C6424" s="3" t="s">
        <v>6559</v>
      </c>
      <c r="D6424" s="4" t="str">
        <f>HYPERLINK("https://12go.asia/en/travel/warangal/shalimar", "12Go Link")</f>
        <v>12Go Link</v>
      </c>
      <c r="E6424" s="3" t="s">
        <v>94</v>
      </c>
      <c r="K6424" s="5"/>
    </row>
    <row r="6425">
      <c r="A6425" s="3" t="s">
        <v>3782</v>
      </c>
      <c r="B6425" s="3" t="s">
        <v>5427</v>
      </c>
      <c r="C6425" s="3" t="s">
        <v>6560</v>
      </c>
      <c r="D6425" s="4" t="str">
        <f>HYPERLINK("https://12go.asia/en/travel/warangal/kollam", "12Go Link")</f>
        <v>12Go Link</v>
      </c>
      <c r="E6425" s="3" t="s">
        <v>94</v>
      </c>
      <c r="K6425" s="5"/>
    </row>
    <row r="6426">
      <c r="A6426" s="3" t="s">
        <v>3782</v>
      </c>
      <c r="B6426" s="3" t="s">
        <v>6561</v>
      </c>
      <c r="C6426" s="3" t="s">
        <v>6562</v>
      </c>
      <c r="D6426" s="4" t="str">
        <f>HYPERLINK("https://12go.asia/en/travel/warangal/kothagudem", "12Go Link")</f>
        <v>12Go Link</v>
      </c>
      <c r="E6426" s="3" t="s">
        <v>94</v>
      </c>
      <c r="K6426" s="5"/>
    </row>
    <row r="6427">
      <c r="A6427" s="3" t="s">
        <v>3782</v>
      </c>
      <c r="B6427" s="3" t="s">
        <v>5487</v>
      </c>
      <c r="C6427" s="3" t="s">
        <v>6563</v>
      </c>
      <c r="D6427" s="4" t="str">
        <f>HYPERLINK("https://12go.asia/en/travel/warangal/palakollu", "12Go Link")</f>
        <v>12Go Link</v>
      </c>
      <c r="E6427" s="3" t="s">
        <v>94</v>
      </c>
      <c r="K6427" s="5"/>
    </row>
    <row r="6428">
      <c r="A6428" s="3" t="s">
        <v>3782</v>
      </c>
      <c r="B6428" s="3" t="s">
        <v>4443</v>
      </c>
      <c r="C6428" s="3" t="s">
        <v>6564</v>
      </c>
      <c r="D6428" s="4" t="str">
        <f>HYPERLINK("https://12go.asia/en/travel/warangal/rajahmundry", "12Go Link")</f>
        <v>12Go Link</v>
      </c>
      <c r="E6428" s="3" t="s">
        <v>94</v>
      </c>
      <c r="K6428" s="5"/>
    </row>
    <row r="6429">
      <c r="A6429" s="3" t="s">
        <v>3782</v>
      </c>
      <c r="B6429" s="3" t="s">
        <v>3633</v>
      </c>
      <c r="C6429" s="3" t="s">
        <v>6565</v>
      </c>
      <c r="D6429" s="4" t="str">
        <f>HYPERLINK("https://12go.asia/en/travel/warangal/rajasthan", "12Go Link")</f>
        <v>12Go Link</v>
      </c>
      <c r="E6429" s="3" t="s">
        <v>94</v>
      </c>
      <c r="K6429" s="5"/>
    </row>
    <row r="6430">
      <c r="A6430" s="3" t="s">
        <v>3782</v>
      </c>
      <c r="B6430" s="3" t="s">
        <v>6393</v>
      </c>
      <c r="C6430" s="3" t="s">
        <v>6566</v>
      </c>
      <c r="D6430" s="4" t="str">
        <f>HYPERLINK("https://12go.asia/en/travel/warangal/salem", "12Go Link")</f>
        <v>12Go Link</v>
      </c>
      <c r="E6430" s="3" t="s">
        <v>94</v>
      </c>
      <c r="K6430" s="5"/>
    </row>
    <row r="6431">
      <c r="A6431" s="3" t="s">
        <v>3782</v>
      </c>
      <c r="B6431" s="3" t="s">
        <v>6393</v>
      </c>
      <c r="C6431" s="3" t="s">
        <v>6567</v>
      </c>
      <c r="D6431" s="4" t="str">
        <f>HYPERLINK("https://12go.asia/en/travel/warangal/salem-junction", "12Go Link")</f>
        <v>12Go Link</v>
      </c>
      <c r="E6431" s="3" t="s">
        <v>94</v>
      </c>
      <c r="K6431" s="5"/>
    </row>
    <row r="6432">
      <c r="A6432" s="3" t="s">
        <v>3782</v>
      </c>
      <c r="B6432" s="3" t="s">
        <v>3761</v>
      </c>
      <c r="C6432" s="3" t="s">
        <v>6568</v>
      </c>
      <c r="D6432" s="4" t="str">
        <f>HYPERLINK("https://12go.asia/en/travel/warangal/samalkot", "12Go Link")</f>
        <v>12Go Link</v>
      </c>
      <c r="E6432" s="3" t="s">
        <v>94</v>
      </c>
      <c r="K6432" s="5"/>
    </row>
    <row r="6433">
      <c r="A6433" s="3" t="s">
        <v>3782</v>
      </c>
      <c r="B6433" s="3" t="s">
        <v>3761</v>
      </c>
      <c r="C6433" s="3" t="s">
        <v>6569</v>
      </c>
      <c r="D6433" s="4" t="str">
        <f>HYPERLINK("https://12go.asia/en/travel/warangal/samalkot-junction", "12Go Link")</f>
        <v>12Go Link</v>
      </c>
      <c r="E6433" s="3" t="s">
        <v>94</v>
      </c>
      <c r="K6433" s="5"/>
    </row>
    <row r="6434">
      <c r="A6434" s="3" t="s">
        <v>3782</v>
      </c>
      <c r="B6434" s="3" t="s">
        <v>4099</v>
      </c>
      <c r="C6434" s="3" t="s">
        <v>6570</v>
      </c>
      <c r="D6434" s="4" t="str">
        <f>HYPERLINK("https://12go.asia/en/travel/warangal/sainagar-shirdi", "12Go Link")</f>
        <v>12Go Link</v>
      </c>
      <c r="E6434" s="3" t="s">
        <v>94</v>
      </c>
      <c r="K6434" s="5"/>
    </row>
    <row r="6435">
      <c r="A6435" s="3" t="s">
        <v>3782</v>
      </c>
      <c r="B6435" s="3" t="s">
        <v>4099</v>
      </c>
      <c r="C6435" s="3" t="s">
        <v>6571</v>
      </c>
      <c r="D6435" s="4" t="str">
        <f>HYPERLINK("https://12go.asia/en/travel/warangal/shirdi", "12Go Link")</f>
        <v>12Go Link</v>
      </c>
      <c r="E6435" s="3" t="s">
        <v>94</v>
      </c>
      <c r="K6435" s="5"/>
    </row>
    <row r="6436">
      <c r="A6436" s="3" t="s">
        <v>3782</v>
      </c>
      <c r="B6436" s="3" t="s">
        <v>4143</v>
      </c>
      <c r="C6436" s="3" t="s">
        <v>6572</v>
      </c>
      <c r="D6436" s="4" t="str">
        <f>HYPERLINK("https://12go.asia/en/travel/warangal/bhadrachalam-road", "12Go Link")</f>
        <v>12Go Link</v>
      </c>
      <c r="E6436" s="3" t="s">
        <v>94</v>
      </c>
      <c r="K6436" s="5"/>
    </row>
    <row r="6437">
      <c r="A6437" s="3" t="s">
        <v>3782</v>
      </c>
      <c r="B6437" s="3" t="s">
        <v>3708</v>
      </c>
      <c r="C6437" s="3" t="s">
        <v>6573</v>
      </c>
      <c r="D6437" s="4" t="str">
        <f>HYPERLINK("https://12go.asia/en/travel/warangal/west-bengal", "12Go Link")</f>
        <v>12Go Link</v>
      </c>
      <c r="E6437" s="3" t="s">
        <v>94</v>
      </c>
      <c r="K6437" s="5"/>
    </row>
    <row r="6438">
      <c r="A6438" s="3" t="s">
        <v>4135</v>
      </c>
      <c r="B6438" s="3" t="s">
        <v>3830</v>
      </c>
      <c r="C6438" s="3" t="s">
        <v>6574</v>
      </c>
      <c r="D6438" s="4" t="str">
        <f>HYPERLINK("https://12go.asia/en/travel/wardha-junction/balharshah", "12Go Link")</f>
        <v>12Go Link</v>
      </c>
      <c r="E6438" s="3" t="s">
        <v>94</v>
      </c>
      <c r="K6438" s="5"/>
    </row>
    <row r="6439">
      <c r="A6439" s="3" t="s">
        <v>4135</v>
      </c>
      <c r="B6439" s="3" t="s">
        <v>3830</v>
      </c>
      <c r="C6439" s="3" t="s">
        <v>6575</v>
      </c>
      <c r="D6439" s="4" t="str">
        <f>HYPERLINK("https://12go.asia/en/travel/wardha/ballarpur", "12Go Link")</f>
        <v>12Go Link</v>
      </c>
      <c r="E6439" s="3" t="s">
        <v>94</v>
      </c>
      <c r="K6439" s="5"/>
    </row>
    <row r="6440">
      <c r="A6440" s="3" t="s">
        <v>4135</v>
      </c>
      <c r="B6440" s="3" t="s">
        <v>4116</v>
      </c>
      <c r="C6440" s="3" t="s">
        <v>6576</v>
      </c>
      <c r="D6440" s="4" t="str">
        <f>HYPERLINK("https://12go.asia/en/travel/wardha-junction/raipur-jn", "12Go Link")</f>
        <v>12Go Link</v>
      </c>
      <c r="E6440" s="3" t="s">
        <v>94</v>
      </c>
      <c r="K6440" s="5"/>
    </row>
    <row r="6441">
      <c r="A6441" s="3" t="s">
        <v>4135</v>
      </c>
      <c r="B6441" s="3" t="s">
        <v>4116</v>
      </c>
      <c r="C6441" s="3" t="s">
        <v>6577</v>
      </c>
      <c r="D6441" s="4" t="str">
        <f>HYPERLINK("https://12go.asia/en/travel/wardha/chhattisgarh", "12Go Link")</f>
        <v>12Go Link</v>
      </c>
      <c r="E6441" s="3" t="s">
        <v>94</v>
      </c>
      <c r="K6441" s="5"/>
    </row>
    <row r="6442">
      <c r="A6442" s="3" t="s">
        <v>4135</v>
      </c>
      <c r="B6442" s="3" t="s">
        <v>4727</v>
      </c>
      <c r="C6442" s="3" t="s">
        <v>6578</v>
      </c>
      <c r="D6442" s="4" t="str">
        <f>HYPERLINK("https://12go.asia/en/travel/wardha-junction/gondia-junction", "12Go Link")</f>
        <v>12Go Link</v>
      </c>
      <c r="E6442" s="3" t="s">
        <v>94</v>
      </c>
      <c r="K6442" s="5"/>
    </row>
    <row r="6443">
      <c r="A6443" s="3" t="s">
        <v>4135</v>
      </c>
      <c r="B6443" s="3" t="s">
        <v>4727</v>
      </c>
      <c r="C6443" s="3" t="s">
        <v>6579</v>
      </c>
      <c r="D6443" s="4" t="str">
        <f>HYPERLINK("https://12go.asia/en/travel/wardha/gondia", "12Go Link")</f>
        <v>12Go Link</v>
      </c>
      <c r="E6443" s="3" t="s">
        <v>94</v>
      </c>
      <c r="K6443" s="5"/>
    </row>
    <row r="6444">
      <c r="A6444" s="3" t="s">
        <v>4135</v>
      </c>
      <c r="B6444" s="3" t="s">
        <v>3834</v>
      </c>
      <c r="C6444" s="3" t="s">
        <v>6580</v>
      </c>
      <c r="D6444" s="4" t="str">
        <f>HYPERLINK("https://12go.asia/en/travel/wardha-junction/manmad-junction", "12Go Link")</f>
        <v>12Go Link</v>
      </c>
      <c r="E6444" s="3" t="s">
        <v>94</v>
      </c>
      <c r="K6444" s="5"/>
    </row>
    <row r="6445">
      <c r="A6445" s="3" t="s">
        <v>4135</v>
      </c>
      <c r="B6445" s="3" t="s">
        <v>3834</v>
      </c>
      <c r="C6445" s="3" t="s">
        <v>6581</v>
      </c>
      <c r="D6445" s="4" t="str">
        <f>HYPERLINK("https://12go.asia/en/travel/wardha/manmad", "12Go Link")</f>
        <v>12Go Link</v>
      </c>
      <c r="E6445" s="3" t="s">
        <v>94</v>
      </c>
      <c r="K6445" s="5"/>
    </row>
    <row r="6446">
      <c r="A6446" s="3" t="s">
        <v>4135</v>
      </c>
      <c r="B6446" s="3" t="s">
        <v>4130</v>
      </c>
      <c r="C6446" s="3" t="s">
        <v>6582</v>
      </c>
      <c r="D6446" s="4" t="str">
        <f>HYPERLINK("https://12go.asia/en/travel/wardha-junction/puri", "12Go Link")</f>
        <v>12Go Link</v>
      </c>
      <c r="E6446" s="3" t="s">
        <v>94</v>
      </c>
      <c r="K6446" s="5"/>
    </row>
    <row r="6447">
      <c r="A6447" s="3" t="s">
        <v>4135</v>
      </c>
      <c r="B6447" s="3" t="s">
        <v>4130</v>
      </c>
      <c r="C6447" s="3" t="s">
        <v>6583</v>
      </c>
      <c r="D6447" s="4" t="str">
        <f>HYPERLINK("https://12go.asia/en/travel/wardha/puri", "12Go Link")</f>
        <v>12Go Link</v>
      </c>
      <c r="E6447" s="3" t="s">
        <v>94</v>
      </c>
      <c r="K6447" s="5"/>
    </row>
    <row r="6448">
      <c r="A6448" s="3" t="s">
        <v>4135</v>
      </c>
      <c r="B6448" s="3" t="s">
        <v>4752</v>
      </c>
      <c r="C6448" s="3" t="s">
        <v>6584</v>
      </c>
      <c r="D6448" s="4" t="str">
        <f>HYPERLINK("https://12go.asia/en/travel/wardha/raipur", "12Go Link")</f>
        <v>12Go Link</v>
      </c>
      <c r="E6448" s="3" t="s">
        <v>94</v>
      </c>
      <c r="K6448" s="5"/>
    </row>
    <row r="6449">
      <c r="A6449" s="3" t="s">
        <v>4135</v>
      </c>
      <c r="B6449" s="3" t="s">
        <v>4133</v>
      </c>
      <c r="C6449" s="3" t="s">
        <v>6585</v>
      </c>
      <c r="D6449" s="4" t="str">
        <f>HYPERLINK("https://12go.asia/en/travel/wardha/sevagram", "12Go Link")</f>
        <v>12Go Link</v>
      </c>
      <c r="E6449" s="3" t="s">
        <v>94</v>
      </c>
      <c r="K6449" s="5"/>
    </row>
    <row r="6450">
      <c r="A6450" s="3" t="s">
        <v>4135</v>
      </c>
      <c r="B6450" s="3" t="s">
        <v>186</v>
      </c>
      <c r="C6450" s="3" t="s">
        <v>6586</v>
      </c>
      <c r="D6450" s="4" t="str">
        <f>HYPERLINK("https://12go.asia/en/travel/wardha-junction/vadodara", "12Go Link")</f>
        <v>12Go Link</v>
      </c>
      <c r="E6450" s="3" t="s">
        <v>94</v>
      </c>
      <c r="K6450" s="5"/>
    </row>
    <row r="6451">
      <c r="A6451" s="3" t="s">
        <v>4135</v>
      </c>
      <c r="B6451" s="3" t="s">
        <v>186</v>
      </c>
      <c r="C6451" s="3" t="s">
        <v>6587</v>
      </c>
      <c r="D6451" s="4" t="str">
        <f>HYPERLINK("https://12go.asia/en/travel/wardha/vadodara", "12Go Link")</f>
        <v>12Go Link</v>
      </c>
      <c r="E6451" s="3" t="s">
        <v>94</v>
      </c>
      <c r="K6451" s="5"/>
    </row>
    <row r="6452">
      <c r="A6452" s="3" t="s">
        <v>6588</v>
      </c>
      <c r="B6452" s="3" t="s">
        <v>3582</v>
      </c>
      <c r="C6452" s="3" t="s">
        <v>6589</v>
      </c>
      <c r="D6452" s="4" t="str">
        <f>HYPERLINK("https://12go.asia/en/travel/washim/tirupati", "12Go Link")</f>
        <v>12Go Link</v>
      </c>
      <c r="E6452" s="3" t="s">
        <v>94</v>
      </c>
      <c r="K6452" s="5"/>
    </row>
    <row r="6453">
      <c r="A6453" s="3" t="s">
        <v>6590</v>
      </c>
      <c r="B6453" s="3" t="s">
        <v>3847</v>
      </c>
      <c r="C6453" s="3" t="s">
        <v>6591</v>
      </c>
      <c r="D6453" s="4" t="str">
        <f>HYPERLINK("https://12go.asia/en/travel/whitefield-bangalore/bangalore", "12Go Link")</f>
        <v>12Go Link</v>
      </c>
      <c r="E6453" s="3" t="s">
        <v>94</v>
      </c>
      <c r="K6453" s="5"/>
    </row>
    <row r="6454">
      <c r="A6454" s="3" t="s">
        <v>6590</v>
      </c>
      <c r="B6454" s="3" t="s">
        <v>3847</v>
      </c>
      <c r="C6454" s="3" t="s">
        <v>6592</v>
      </c>
      <c r="D6454" s="4" t="str">
        <f>HYPERLINK("https://12go.asia/en/travel/whitefield/ksr-bangalore", "12Go Link")</f>
        <v>12Go Link</v>
      </c>
      <c r="E6454" s="3" t="s">
        <v>94</v>
      </c>
      <c r="K6454" s="5"/>
    </row>
    <row r="6455">
      <c r="A6455" s="3" t="s">
        <v>6590</v>
      </c>
      <c r="B6455" s="3" t="s">
        <v>4187</v>
      </c>
      <c r="C6455" s="3" t="s">
        <v>6593</v>
      </c>
      <c r="D6455" s="4" t="str">
        <f>HYPERLINK("https://12go.asia/en/travel/whitefield-bangalore/nagpur", "12Go Link")</f>
        <v>12Go Link</v>
      </c>
      <c r="E6455" s="3" t="s">
        <v>94</v>
      </c>
      <c r="K6455" s="5"/>
    </row>
    <row r="6456">
      <c r="A6456" s="3" t="s">
        <v>6590</v>
      </c>
      <c r="B6456" s="3" t="s">
        <v>4187</v>
      </c>
      <c r="C6456" s="3" t="s">
        <v>6594</v>
      </c>
      <c r="D6456" s="4" t="str">
        <f>HYPERLINK("https://12go.asia/en/travel/whitefield/nagpur", "12Go Link")</f>
        <v>12Go Link</v>
      </c>
      <c r="E6456" s="3" t="s">
        <v>94</v>
      </c>
      <c r="K6456" s="5"/>
    </row>
    <row r="6457">
      <c r="A6457" s="3" t="s">
        <v>4381</v>
      </c>
      <c r="B6457" s="3" t="s">
        <v>3862</v>
      </c>
      <c r="C6457" s="3" t="s">
        <v>6595</v>
      </c>
      <c r="D6457" s="4" t="str">
        <f>HYPERLINK("https://12go.asia/en/travel/yelhanka/bidar", "12Go Link")</f>
        <v>12Go Link</v>
      </c>
      <c r="E6457" s="3" t="s">
        <v>94</v>
      </c>
      <c r="K6457" s="5"/>
    </row>
    <row r="6458">
      <c r="A6458" s="3" t="s">
        <v>4381</v>
      </c>
      <c r="B6458" s="3" t="s">
        <v>157</v>
      </c>
      <c r="C6458" s="3" t="s">
        <v>6596</v>
      </c>
      <c r="D6458" s="4" t="str">
        <f>HYPERLINK("https://12go.asia/en/travel/yelhanka/kalaburagi", "12Go Link")</f>
        <v>12Go Link</v>
      </c>
      <c r="E6458" s="3" t="s">
        <v>94</v>
      </c>
      <c r="K6458" s="5"/>
    </row>
    <row r="6459">
      <c r="A6459" s="3" t="s">
        <v>6597</v>
      </c>
      <c r="B6459" s="3" t="s">
        <v>6597</v>
      </c>
      <c r="C6459" s="3" t="s">
        <v>6598</v>
      </c>
      <c r="D6459" s="4" t="str">
        <f>HYPERLINK("https://12go.asia/en/travel/Amed-Transfer/Candidasa-Transfer", "12Go Link")</f>
        <v>12Go Link</v>
      </c>
      <c r="E6459" s="3" t="s">
        <v>6599</v>
      </c>
      <c r="K6459" s="5"/>
    </row>
    <row r="6460">
      <c r="A6460" s="3" t="s">
        <v>6597</v>
      </c>
      <c r="B6460" s="3" t="s">
        <v>6597</v>
      </c>
      <c r="C6460" s="3" t="s">
        <v>6600</v>
      </c>
      <c r="D6460" s="4" t="str">
        <f>HYPERLINK("https://12go.asia/en/travel/Amed-Transfer/Padang-Bai-Port", "12Go Link")</f>
        <v>12Go Link</v>
      </c>
      <c r="E6460" s="3" t="s">
        <v>6599</v>
      </c>
      <c r="K6460" s="5"/>
    </row>
    <row r="6461">
      <c r="A6461" s="3" t="s">
        <v>6597</v>
      </c>
      <c r="B6461" s="3" t="s">
        <v>6597</v>
      </c>
      <c r="C6461" s="3" t="s">
        <v>6601</v>
      </c>
      <c r="D6461" s="4" t="str">
        <f>HYPERLINK("https://12go.asia/en/travel/Benoa-Square-Jimbaran/Padang-Bai-Central-Parking", "12Go Link")</f>
        <v>12Go Link</v>
      </c>
      <c r="E6461" s="3" t="s">
        <v>6602</v>
      </c>
      <c r="K6461" s="5"/>
    </row>
    <row r="6462">
      <c r="A6462" s="3" t="s">
        <v>6597</v>
      </c>
      <c r="B6462" s="3" t="s">
        <v>6597</v>
      </c>
      <c r="C6462" s="3" t="s">
        <v>6603</v>
      </c>
      <c r="D6462" s="4" t="str">
        <f>HYPERLINK("https://12go.asia/en/travel/Candidasa-Transfer/Amed-Transfer", "12Go Link")</f>
        <v>12Go Link</v>
      </c>
      <c r="E6462" s="3" t="s">
        <v>6599</v>
      </c>
      <c r="K6462" s="5"/>
    </row>
    <row r="6463">
      <c r="A6463" s="3" t="s">
        <v>6597</v>
      </c>
      <c r="B6463" s="3" t="s">
        <v>6597</v>
      </c>
      <c r="C6463" s="3" t="s">
        <v>6604</v>
      </c>
      <c r="D6463" s="4" t="str">
        <f>HYPERLINK("https://12go.asia/en/travel/Candidasa-Transfer/Canggu-Transfer", "12Go Link")</f>
        <v>12Go Link</v>
      </c>
      <c r="E6463" s="3" t="s">
        <v>6599</v>
      </c>
      <c r="K6463" s="5"/>
    </row>
    <row r="6464">
      <c r="A6464" s="3" t="s">
        <v>6597</v>
      </c>
      <c r="B6464" s="3" t="s">
        <v>6597</v>
      </c>
      <c r="C6464" s="3" t="s">
        <v>6605</v>
      </c>
      <c r="D6464" s="4" t="str">
        <f>HYPERLINK("https://12go.asia/en/travel/Candidasa-Transfer/Jimbaran-Transfer", "12Go Link")</f>
        <v>12Go Link</v>
      </c>
      <c r="E6464" s="3" t="s">
        <v>6599</v>
      </c>
      <c r="K6464" s="5"/>
    </row>
    <row r="6465">
      <c r="A6465" s="3" t="s">
        <v>6597</v>
      </c>
      <c r="B6465" s="3" t="s">
        <v>6597</v>
      </c>
      <c r="C6465" s="3" t="s">
        <v>6606</v>
      </c>
      <c r="D6465" s="4" t="str">
        <f>HYPERLINK("https://12go.asia/en/travel/Candidasa-Transfer/Nusa-Dua-Transfer", "12Go Link")</f>
        <v>12Go Link</v>
      </c>
      <c r="E6465" s="3" t="s">
        <v>6599</v>
      </c>
      <c r="K6465" s="5"/>
    </row>
    <row r="6466">
      <c r="A6466" s="3" t="s">
        <v>6597</v>
      </c>
      <c r="B6466" s="3" t="s">
        <v>6597</v>
      </c>
      <c r="C6466" s="3" t="s">
        <v>6607</v>
      </c>
      <c r="D6466" s="4" t="str">
        <f>HYPERLINK("https://12go.asia/en/travel/Candidasa-Transfer/Padang-Bai-Port", "12Go Link")</f>
        <v>12Go Link</v>
      </c>
      <c r="E6466" s="3" t="s">
        <v>6599</v>
      </c>
      <c r="K6466" s="5"/>
    </row>
    <row r="6467">
      <c r="A6467" s="3" t="s">
        <v>6597</v>
      </c>
      <c r="B6467" s="3" t="s">
        <v>6597</v>
      </c>
      <c r="C6467" s="3" t="s">
        <v>6608</v>
      </c>
      <c r="D6467" s="4" t="str">
        <f>HYPERLINK("https://12go.asia/en/travel/Candidasa-Transfer/Pecatu-Transfer", "12Go Link")</f>
        <v>12Go Link</v>
      </c>
      <c r="E6467" s="3" t="s">
        <v>6599</v>
      </c>
      <c r="K6467" s="5"/>
    </row>
    <row r="6468">
      <c r="A6468" s="3" t="s">
        <v>6597</v>
      </c>
      <c r="B6468" s="3" t="s">
        <v>6597</v>
      </c>
      <c r="C6468" s="3" t="s">
        <v>6609</v>
      </c>
      <c r="D6468" s="4" t="str">
        <f>HYPERLINK("https://12go.asia/en/travel/Candidasa-Transfer/Tulamben-Transfer", "12Go Link")</f>
        <v>12Go Link</v>
      </c>
      <c r="E6468" s="3" t="s">
        <v>6599</v>
      </c>
      <c r="K6468" s="5"/>
    </row>
    <row r="6469">
      <c r="A6469" s="3" t="s">
        <v>6597</v>
      </c>
      <c r="B6469" s="3" t="s">
        <v>6597</v>
      </c>
      <c r="C6469" s="3" t="s">
        <v>6610</v>
      </c>
      <c r="D6469" s="4" t="str">
        <f>HYPERLINK("https://12go.asia/en/travel/Candidasa-Transfer/Uluwatu-Transfer", "12Go Link")</f>
        <v>12Go Link</v>
      </c>
      <c r="E6469" s="3" t="s">
        <v>6599</v>
      </c>
      <c r="K6469" s="5"/>
    </row>
    <row r="6470">
      <c r="A6470" s="3" t="s">
        <v>6597</v>
      </c>
      <c r="B6470" s="3" t="s">
        <v>6597</v>
      </c>
      <c r="C6470" s="3" t="s">
        <v>6611</v>
      </c>
      <c r="D6470" s="4" t="str">
        <f>HYPERLINK("https://12go.asia/en/travel/Canggu-Transfer/Candidasa-Transfer", "12Go Link")</f>
        <v>12Go Link</v>
      </c>
      <c r="E6470" s="3" t="s">
        <v>6599</v>
      </c>
      <c r="K6470" s="5"/>
    </row>
    <row r="6471">
      <c r="A6471" s="3" t="s">
        <v>6597</v>
      </c>
      <c r="B6471" s="3" t="s">
        <v>6597</v>
      </c>
      <c r="C6471" s="3" t="s">
        <v>6612</v>
      </c>
      <c r="D6471" s="4" t="str">
        <f>HYPERLINK("https://12go.asia/en/travel/Canggu-Transfer/Padang-Bai-Port", "12Go Link")</f>
        <v>12Go Link</v>
      </c>
      <c r="E6471" s="3" t="s">
        <v>6599</v>
      </c>
      <c r="K6471" s="5"/>
    </row>
    <row r="6472">
      <c r="A6472" s="3" t="s">
        <v>6597</v>
      </c>
      <c r="B6472" s="3" t="s">
        <v>6597</v>
      </c>
      <c r="C6472" s="3" t="s">
        <v>6613</v>
      </c>
      <c r="D6472" s="4" t="str">
        <f>HYPERLINK("https://12go.asia/en/travel/Central-Parking-Kuta/Padang-Bai-Central-Parking", "12Go Link")</f>
        <v>12Go Link</v>
      </c>
      <c r="E6472" s="3" t="s">
        <v>6602</v>
      </c>
      <c r="K6472" s="5"/>
    </row>
    <row r="6473">
      <c r="A6473" s="3" t="s">
        <v>6597</v>
      </c>
      <c r="B6473" s="3" t="s">
        <v>6597</v>
      </c>
      <c r="C6473" s="3" t="s">
        <v>6614</v>
      </c>
      <c r="D6473" s="4" t="str">
        <f>HYPERLINK("https://12go.asia/en/travel/Dunkin-Donuts-Sanur/Padang-Bai-Central-Parking", "12Go Link")</f>
        <v>12Go Link</v>
      </c>
      <c r="E6473" s="3" t="s">
        <v>6602</v>
      </c>
      <c r="K6473" s="5"/>
    </row>
    <row r="6474">
      <c r="A6474" s="3" t="s">
        <v>6597</v>
      </c>
      <c r="B6474" s="3" t="s">
        <v>6597</v>
      </c>
      <c r="C6474" s="3" t="s">
        <v>6615</v>
      </c>
      <c r="D6474" s="4" t="str">
        <f>HYPERLINK("https://12go.asia/en/travel/Gilimanuk-Port/Uluwatu-Transfer", "12Go Link")</f>
        <v>12Go Link</v>
      </c>
      <c r="E6474" s="3" t="s">
        <v>6599</v>
      </c>
      <c r="K6474" s="5"/>
    </row>
    <row r="6475">
      <c r="A6475" s="3" t="s">
        <v>6597</v>
      </c>
      <c r="B6475" s="3" t="s">
        <v>6597</v>
      </c>
      <c r="C6475" s="3" t="s">
        <v>6616</v>
      </c>
      <c r="D6475" s="4" t="str">
        <f>HYPERLINK("https://12go.asia/en/travel/Gilimanuk-Transfer/Uluwatu-Transfer", "12Go Link")</f>
        <v>12Go Link</v>
      </c>
      <c r="E6475" s="3" t="s">
        <v>6599</v>
      </c>
      <c r="K6475" s="5"/>
    </row>
    <row r="6476">
      <c r="A6476" s="3" t="s">
        <v>6597</v>
      </c>
      <c r="B6476" s="3" t="s">
        <v>6597</v>
      </c>
      <c r="C6476" s="3" t="s">
        <v>6617</v>
      </c>
      <c r="D6476" s="4" t="str">
        <f>HYPERLINK("https://12go.asia/en/travel/Jimbaran-Transfer/Candidasa-Transfer", "12Go Link")</f>
        <v>12Go Link</v>
      </c>
      <c r="E6476" s="3" t="s">
        <v>6599</v>
      </c>
      <c r="K6476" s="5"/>
    </row>
    <row r="6477">
      <c r="A6477" s="3" t="s">
        <v>6597</v>
      </c>
      <c r="B6477" s="3" t="s">
        <v>6597</v>
      </c>
      <c r="C6477" s="3" t="s">
        <v>6618</v>
      </c>
      <c r="D6477" s="4" t="str">
        <f>HYPERLINK("https://12go.asia/en/travel/Jimbaran-Transfer/Padang-Bai-Port", "12Go Link")</f>
        <v>12Go Link</v>
      </c>
      <c r="E6477" s="3" t="s">
        <v>6599</v>
      </c>
      <c r="K6477" s="5"/>
    </row>
    <row r="6478">
      <c r="A6478" s="3" t="s">
        <v>6597</v>
      </c>
      <c r="B6478" s="3" t="s">
        <v>6597</v>
      </c>
      <c r="C6478" s="3" t="s">
        <v>6619</v>
      </c>
      <c r="D6478" s="4" t="str">
        <f>HYPERLINK("https://12go.asia/en/travel/Lovina/Padang-Bai-Transfer", "12Go Link")</f>
        <v>12Go Link</v>
      </c>
      <c r="E6478" s="3" t="s">
        <v>6599</v>
      </c>
      <c r="K6478" s="5"/>
    </row>
    <row r="6479">
      <c r="A6479" s="3" t="s">
        <v>6597</v>
      </c>
      <c r="B6479" s="3" t="s">
        <v>6597</v>
      </c>
      <c r="C6479" s="3" t="s">
        <v>6620</v>
      </c>
      <c r="D6479" s="4" t="str">
        <f>HYPERLINK("https://12go.asia/en/travel/Lovina/Uluwatu-Transfer", "12Go Link")</f>
        <v>12Go Link</v>
      </c>
      <c r="E6479" s="3" t="s">
        <v>6599</v>
      </c>
      <c r="K6479" s="5"/>
    </row>
    <row r="6480">
      <c r="A6480" s="3" t="s">
        <v>6597</v>
      </c>
      <c r="B6480" s="3" t="s">
        <v>6597</v>
      </c>
      <c r="C6480" s="3" t="s">
        <v>6621</v>
      </c>
      <c r="D6480" s="4" t="str">
        <f>HYPERLINK("https://12go.asia/en/travel/Nusa-Dua-Transfer/Candidasa-Transfer", "12Go Link")</f>
        <v>12Go Link</v>
      </c>
      <c r="E6480" s="3" t="s">
        <v>6599</v>
      </c>
      <c r="K6480" s="5"/>
    </row>
    <row r="6481">
      <c r="A6481" s="3" t="s">
        <v>6597</v>
      </c>
      <c r="B6481" s="3" t="s">
        <v>6597</v>
      </c>
      <c r="C6481" s="3" t="s">
        <v>6622</v>
      </c>
      <c r="D6481" s="4" t="str">
        <f>HYPERLINK("https://12go.asia/en/travel/Nusa-Dua-Transfer/Padang-Bai-Port", "12Go Link")</f>
        <v>12Go Link</v>
      </c>
      <c r="E6481" s="3" t="s">
        <v>6599</v>
      </c>
      <c r="K6481" s="5"/>
    </row>
    <row r="6482">
      <c r="A6482" s="3" t="s">
        <v>6597</v>
      </c>
      <c r="B6482" s="3" t="s">
        <v>6597</v>
      </c>
      <c r="C6482" s="3" t="s">
        <v>6623</v>
      </c>
      <c r="D6482" s="4" t="str">
        <f>HYPERLINK("https://12go.asia/en/travel/Nusa-Dua-Transfer/Uluwatu-Transfer", "12Go Link")</f>
        <v>12Go Link</v>
      </c>
      <c r="E6482" s="3" t="s">
        <v>6599</v>
      </c>
      <c r="K6482" s="5"/>
    </row>
    <row r="6483">
      <c r="A6483" s="3" t="s">
        <v>6597</v>
      </c>
      <c r="B6483" s="3" t="s">
        <v>6597</v>
      </c>
      <c r="C6483" s="3" t="s">
        <v>6624</v>
      </c>
      <c r="D6483" s="4" t="str">
        <f>HYPERLINK("https://12go.asia/en/travel/Padang-Bai-Central-Parking/Benoa-Square-Jimbaran", "12Go Link")</f>
        <v>12Go Link</v>
      </c>
      <c r="E6483" s="3" t="s">
        <v>6602</v>
      </c>
      <c r="K6483" s="5"/>
    </row>
    <row r="6484">
      <c r="A6484" s="3" t="s">
        <v>6597</v>
      </c>
      <c r="B6484" s="3" t="s">
        <v>6597</v>
      </c>
      <c r="C6484" s="3" t="s">
        <v>6625</v>
      </c>
      <c r="D6484" s="4" t="str">
        <f>HYPERLINK("https://12go.asia/en/travel/Padang-Bai-Central-Parking/Central-Parking-Kuta", "12Go Link")</f>
        <v>12Go Link</v>
      </c>
      <c r="E6484" s="3" t="s">
        <v>6602</v>
      </c>
      <c r="K6484" s="5"/>
    </row>
    <row r="6485">
      <c r="A6485" s="3" t="s">
        <v>6597</v>
      </c>
      <c r="B6485" s="3" t="s">
        <v>6597</v>
      </c>
      <c r="C6485" s="3" t="s">
        <v>6626</v>
      </c>
      <c r="D6485" s="4" t="str">
        <f>HYPERLINK("https://12go.asia/en/travel/Padang-Bai-Central-Parking/Dunkin-Donuts-Sanur", "12Go Link")</f>
        <v>12Go Link</v>
      </c>
      <c r="E6485" s="3" t="s">
        <v>6602</v>
      </c>
      <c r="K6485" s="5"/>
    </row>
    <row r="6486">
      <c r="A6486" s="3" t="s">
        <v>6597</v>
      </c>
      <c r="B6486" s="3" t="s">
        <v>6597</v>
      </c>
      <c r="C6486" s="3" t="s">
        <v>6627</v>
      </c>
      <c r="D6486" s="4" t="str">
        <f>HYPERLINK("https://12go.asia/en/travel/Padang-Bai-Central-Parking/Sunset-Point-Shopping-Center-Seminyak", "12Go Link")</f>
        <v>12Go Link</v>
      </c>
      <c r="E6486" s="3" t="s">
        <v>6602</v>
      </c>
      <c r="K6486" s="5"/>
    </row>
    <row r="6487">
      <c r="A6487" s="3" t="s">
        <v>6597</v>
      </c>
      <c r="B6487" s="3" t="s">
        <v>6597</v>
      </c>
      <c r="C6487" s="3" t="s">
        <v>6628</v>
      </c>
      <c r="D6487" s="4" t="str">
        <f>HYPERLINK("https://12go.asia/en/travel/Padang-Bai-Port/Amed-Transfer", "12Go Link")</f>
        <v>12Go Link</v>
      </c>
      <c r="E6487" s="3" t="s">
        <v>6599</v>
      </c>
      <c r="K6487" s="5"/>
    </row>
    <row r="6488">
      <c r="A6488" s="3" t="s">
        <v>6597</v>
      </c>
      <c r="B6488" s="3" t="s">
        <v>6597</v>
      </c>
      <c r="C6488" s="3" t="s">
        <v>6629</v>
      </c>
      <c r="D6488" s="4" t="str">
        <f>HYPERLINK("https://12go.asia/en/travel/Padang-Bai-Port/Candidasa-Transfer", "12Go Link")</f>
        <v>12Go Link</v>
      </c>
      <c r="E6488" s="3" t="s">
        <v>6599</v>
      </c>
      <c r="K6488" s="5"/>
    </row>
    <row r="6489">
      <c r="A6489" s="3" t="s">
        <v>6597</v>
      </c>
      <c r="B6489" s="3" t="s">
        <v>6597</v>
      </c>
      <c r="C6489" s="3" t="s">
        <v>6630</v>
      </c>
      <c r="D6489" s="4" t="str">
        <f>HYPERLINK("https://12go.asia/en/travel/Padang-Bai-Port/Canggu-Transfer", "12Go Link")</f>
        <v>12Go Link</v>
      </c>
      <c r="E6489" s="3" t="s">
        <v>6599</v>
      </c>
      <c r="K6489" s="5"/>
    </row>
    <row r="6490">
      <c r="A6490" s="3" t="s">
        <v>6597</v>
      </c>
      <c r="B6490" s="3" t="s">
        <v>6597</v>
      </c>
      <c r="C6490" s="3" t="s">
        <v>6631</v>
      </c>
      <c r="D6490" s="4" t="str">
        <f>HYPERLINK("https://12go.asia/en/travel/Padang-Bai-Port/Jimbaran-Transfer", "12Go Link")</f>
        <v>12Go Link</v>
      </c>
      <c r="E6490" s="3" t="s">
        <v>6599</v>
      </c>
      <c r="K6490" s="5"/>
    </row>
    <row r="6491">
      <c r="A6491" s="3" t="s">
        <v>6597</v>
      </c>
      <c r="B6491" s="3" t="s">
        <v>6597</v>
      </c>
      <c r="C6491" s="3" t="s">
        <v>6632</v>
      </c>
      <c r="D6491" s="4" t="str">
        <f>HYPERLINK("https://12go.asia/en/travel/Padang-Bai-Port/Nusa-Dua-Transfer", "12Go Link")</f>
        <v>12Go Link</v>
      </c>
      <c r="E6491" s="3" t="s">
        <v>6599</v>
      </c>
      <c r="K6491" s="5"/>
    </row>
    <row r="6492">
      <c r="A6492" s="3" t="s">
        <v>6597</v>
      </c>
      <c r="B6492" s="3" t="s">
        <v>6597</v>
      </c>
      <c r="C6492" s="3" t="s">
        <v>6633</v>
      </c>
      <c r="D6492" s="4" t="str">
        <f>HYPERLINK("https://12go.asia/en/travel/Padang-Bai-Port/Pecatu-Transfer", "12Go Link")</f>
        <v>12Go Link</v>
      </c>
      <c r="E6492" s="3" t="s">
        <v>6599</v>
      </c>
      <c r="K6492" s="5"/>
    </row>
    <row r="6493">
      <c r="A6493" s="3" t="s">
        <v>6597</v>
      </c>
      <c r="B6493" s="3" t="s">
        <v>6597</v>
      </c>
      <c r="C6493" s="3" t="s">
        <v>6634</v>
      </c>
      <c r="D6493" s="4" t="str">
        <f>HYPERLINK("https://12go.asia/en/travel/Padang-Bai-Port/Tulamben-Transfer", "12Go Link")</f>
        <v>12Go Link</v>
      </c>
      <c r="E6493" s="3" t="s">
        <v>6599</v>
      </c>
      <c r="K6493" s="5"/>
    </row>
    <row r="6494">
      <c r="A6494" s="3" t="s">
        <v>6597</v>
      </c>
      <c r="B6494" s="3" t="s">
        <v>6597</v>
      </c>
      <c r="C6494" s="3" t="s">
        <v>6635</v>
      </c>
      <c r="D6494" s="4" t="str">
        <f>HYPERLINK("https://12go.asia/en/travel/Padang-Bai-Port/Uluwatu-Transfer", "12Go Link")</f>
        <v>12Go Link</v>
      </c>
      <c r="E6494" s="3" t="s">
        <v>6599</v>
      </c>
      <c r="K6494" s="5"/>
    </row>
    <row r="6495">
      <c r="A6495" s="3" t="s">
        <v>6597</v>
      </c>
      <c r="B6495" s="3" t="s">
        <v>6597</v>
      </c>
      <c r="C6495" s="3" t="s">
        <v>6636</v>
      </c>
      <c r="D6495" s="4" t="str">
        <f>HYPERLINK("https://12go.asia/en/travel/Padma-Resort-Ubud-Transfer/Nusa-Dua-Transfer", "12Go Link")</f>
        <v>12Go Link</v>
      </c>
      <c r="E6495" s="3" t="s">
        <v>6599</v>
      </c>
      <c r="K6495" s="5"/>
    </row>
    <row r="6496">
      <c r="A6496" s="3" t="s">
        <v>6597</v>
      </c>
      <c r="B6496" s="3" t="s">
        <v>6597</v>
      </c>
      <c r="C6496" s="3" t="s">
        <v>6637</v>
      </c>
      <c r="D6496" s="4" t="str">
        <f>HYPERLINK("https://12go.asia/en/travel/Pecatu-Transfer/Candidasa-Transfer", "12Go Link")</f>
        <v>12Go Link</v>
      </c>
      <c r="E6496" s="3" t="s">
        <v>6599</v>
      </c>
      <c r="K6496" s="5"/>
    </row>
    <row r="6497">
      <c r="A6497" s="3" t="s">
        <v>6597</v>
      </c>
      <c r="B6497" s="3" t="s">
        <v>6597</v>
      </c>
      <c r="C6497" s="3" t="s">
        <v>6638</v>
      </c>
      <c r="D6497" s="4" t="str">
        <f>HYPERLINK("https://12go.asia/en/travel/Pecatu-Transfer/Padang-Bai-Port", "12Go Link")</f>
        <v>12Go Link</v>
      </c>
      <c r="E6497" s="3" t="s">
        <v>6599</v>
      </c>
      <c r="K6497" s="5"/>
    </row>
    <row r="6498">
      <c r="A6498" s="3" t="s">
        <v>6597</v>
      </c>
      <c r="B6498" s="3" t="s">
        <v>6597</v>
      </c>
      <c r="C6498" s="3" t="s">
        <v>6639</v>
      </c>
      <c r="D6498" s="4" t="str">
        <f>HYPERLINK("https://12go.asia/en/travel/Sunset-Point-Shopping-Center-Seminyak/Padang-Bai-Central-Parking", "12Go Link")</f>
        <v>12Go Link</v>
      </c>
      <c r="E6498" s="3" t="s">
        <v>6602</v>
      </c>
      <c r="K6498" s="5"/>
    </row>
    <row r="6499">
      <c r="A6499" s="3" t="s">
        <v>6597</v>
      </c>
      <c r="B6499" s="3" t="s">
        <v>6597</v>
      </c>
      <c r="C6499" s="3" t="s">
        <v>6640</v>
      </c>
      <c r="D6499" s="4" t="str">
        <f>HYPERLINK("https://12go.asia/en/travel/Tulamben-Transfer/Candidasa-Transfer", "12Go Link")</f>
        <v>12Go Link</v>
      </c>
      <c r="E6499" s="3" t="s">
        <v>6599</v>
      </c>
      <c r="K6499" s="5"/>
    </row>
    <row r="6500">
      <c r="A6500" s="3" t="s">
        <v>6597</v>
      </c>
      <c r="B6500" s="3" t="s">
        <v>6597</v>
      </c>
      <c r="C6500" s="3" t="s">
        <v>6641</v>
      </c>
      <c r="D6500" s="4" t="str">
        <f>HYPERLINK("https://12go.asia/en/travel/Tulamben-Transfer/Padang-Bai-Port", "12Go Link")</f>
        <v>12Go Link</v>
      </c>
      <c r="E6500" s="3" t="s">
        <v>6599</v>
      </c>
      <c r="K6500" s="5"/>
    </row>
    <row r="6501">
      <c r="A6501" s="3" t="s">
        <v>6597</v>
      </c>
      <c r="B6501" s="3" t="s">
        <v>6597</v>
      </c>
      <c r="C6501" s="3" t="s">
        <v>6642</v>
      </c>
      <c r="D6501" s="4" t="str">
        <f>HYPERLINK("https://12go.asia/en/travel/Uluwatu-Transfer/Candidasa-Transfer", "12Go Link")</f>
        <v>12Go Link</v>
      </c>
      <c r="E6501" s="3" t="s">
        <v>6599</v>
      </c>
      <c r="K6501" s="5"/>
    </row>
    <row r="6502">
      <c r="A6502" s="3" t="s">
        <v>6597</v>
      </c>
      <c r="B6502" s="3" t="s">
        <v>6597</v>
      </c>
      <c r="C6502" s="3" t="s">
        <v>6643</v>
      </c>
      <c r="D6502" s="4" t="str">
        <f>HYPERLINK("https://12go.asia/en/travel/Uluwatu-Transfer/Padang-Bai-Port", "12Go Link")</f>
        <v>12Go Link</v>
      </c>
      <c r="E6502" s="3" t="s">
        <v>6599</v>
      </c>
      <c r="K6502" s="5"/>
    </row>
    <row r="6503">
      <c r="A6503" s="3" t="s">
        <v>6597</v>
      </c>
      <c r="B6503" s="3" t="s">
        <v>6644</v>
      </c>
      <c r="C6503" s="3" t="s">
        <v>6645</v>
      </c>
      <c r="D6503" s="4" t="str">
        <f>HYPERLINK("https://12go.asia/en/travel/Padang-Bai-Central-Parking/Popular-Market-Deli-Canggu", "12Go Link")</f>
        <v>12Go Link</v>
      </c>
      <c r="E6503" s="3" t="s">
        <v>6602</v>
      </c>
      <c r="K6503" s="5"/>
    </row>
    <row r="6504">
      <c r="A6504" s="3" t="s">
        <v>6597</v>
      </c>
      <c r="B6504" s="3" t="s">
        <v>6646</v>
      </c>
      <c r="C6504" s="3" t="s">
        <v>6647</v>
      </c>
      <c r="D6504" s="4" t="str">
        <f>HYPERLINK("https://12go.asia/en/travel/Denpasar-Airport/Gili-Air", "12Go Link")</f>
        <v>12Go Link</v>
      </c>
      <c r="E6504" s="3" t="s">
        <v>6648</v>
      </c>
      <c r="K6504" s="5"/>
    </row>
    <row r="6505">
      <c r="A6505" s="3" t="s">
        <v>6597</v>
      </c>
      <c r="B6505" s="3" t="s">
        <v>6646</v>
      </c>
      <c r="C6505" s="3" t="s">
        <v>6649</v>
      </c>
      <c r="D6505" s="4" t="str">
        <f>HYPERLINK("https://12go.asia/en/travel/Denpasar-Transfer/Gili-Air", "12Go Link")</f>
        <v>12Go Link</v>
      </c>
      <c r="E6505" s="3" t="s">
        <v>6648</v>
      </c>
      <c r="K6505" s="5"/>
    </row>
    <row r="6506">
      <c r="A6506" s="3" t="s">
        <v>6597</v>
      </c>
      <c r="B6506" s="3" t="s">
        <v>6646</v>
      </c>
      <c r="C6506" s="3" t="s">
        <v>6650</v>
      </c>
      <c r="D6506" s="4" t="str">
        <f>HYPERLINK("https://12go.asia/en/travel/Jimbaran-Transfer/Gili-Air", "12Go Link")</f>
        <v>12Go Link</v>
      </c>
      <c r="E6506" s="3" t="s">
        <v>6648</v>
      </c>
      <c r="K6506" s="5"/>
    </row>
    <row r="6507">
      <c r="A6507" s="3" t="s">
        <v>6597</v>
      </c>
      <c r="B6507" s="3" t="s">
        <v>6646</v>
      </c>
      <c r="C6507" s="3" t="s">
        <v>6651</v>
      </c>
      <c r="D6507" s="4" t="str">
        <f>HYPERLINK("https://12go.asia/en/travel/Kerobokan-Transfer/Gili-Air", "12Go Link")</f>
        <v>12Go Link</v>
      </c>
      <c r="E6507" s="3" t="s">
        <v>6648</v>
      </c>
      <c r="K6507" s="5"/>
    </row>
    <row r="6508">
      <c r="A6508" s="3" t="s">
        <v>6597</v>
      </c>
      <c r="B6508" s="3" t="s">
        <v>6646</v>
      </c>
      <c r="C6508" s="3" t="s">
        <v>6652</v>
      </c>
      <c r="D6508" s="4" t="str">
        <f>HYPERLINK("https://12go.asia/en/travel/Kuta-Transfer/Gili-Air", "12Go Link")</f>
        <v>12Go Link</v>
      </c>
      <c r="E6508" s="3" t="s">
        <v>6648</v>
      </c>
      <c r="K6508" s="5"/>
    </row>
    <row r="6509">
      <c r="A6509" s="3" t="s">
        <v>6597</v>
      </c>
      <c r="B6509" s="3" t="s">
        <v>6646</v>
      </c>
      <c r="C6509" s="3" t="s">
        <v>6653</v>
      </c>
      <c r="D6509" s="4" t="str">
        <f>HYPERLINK("https://12go.asia/en/travel/Legian-Transfer/Gili-Air", "12Go Link")</f>
        <v>12Go Link</v>
      </c>
      <c r="E6509" s="3" t="s">
        <v>6648</v>
      </c>
      <c r="K6509" s="5"/>
    </row>
    <row r="6510">
      <c r="A6510" s="3" t="s">
        <v>6597</v>
      </c>
      <c r="B6510" s="3" t="s">
        <v>6646</v>
      </c>
      <c r="C6510" s="3" t="s">
        <v>6654</v>
      </c>
      <c r="D6510" s="4" t="str">
        <f>HYPERLINK("https://12go.asia/en/travel/Nusa-Dua-Transfer/Gili-Air", "12Go Link")</f>
        <v>12Go Link</v>
      </c>
      <c r="E6510" s="3" t="s">
        <v>6648</v>
      </c>
      <c r="K6510" s="5"/>
    </row>
    <row r="6511">
      <c r="A6511" s="3" t="s">
        <v>6597</v>
      </c>
      <c r="B6511" s="3" t="s">
        <v>6646</v>
      </c>
      <c r="C6511" s="3" t="s">
        <v>6655</v>
      </c>
      <c r="D6511" s="4" t="str">
        <f>HYPERLINK("https://12go.asia/en/travel/Padang-Bai-Pier/Gili-Meno", "12Go Link")</f>
        <v>12Go Link</v>
      </c>
      <c r="E6511" s="3" t="s">
        <v>6656</v>
      </c>
      <c r="K6511" s="5"/>
    </row>
    <row r="6512">
      <c r="A6512" s="3" t="s">
        <v>6597</v>
      </c>
      <c r="B6512" s="3" t="s">
        <v>6646</v>
      </c>
      <c r="C6512" s="3" t="s">
        <v>6657</v>
      </c>
      <c r="D6512" s="4" t="str">
        <f>HYPERLINK("https://12go.asia/en/travel/Seminyak-Transfer/Gili-Air", "12Go Link")</f>
        <v>12Go Link</v>
      </c>
      <c r="E6512" s="3" t="s">
        <v>6648</v>
      </c>
      <c r="K6512" s="5"/>
    </row>
    <row r="6513">
      <c r="A6513" s="3" t="s">
        <v>6597</v>
      </c>
      <c r="B6513" s="3" t="s">
        <v>6646</v>
      </c>
      <c r="C6513" s="3" t="s">
        <v>6658</v>
      </c>
      <c r="D6513" s="4" t="str">
        <f>HYPERLINK("https://12go.asia/en/travel/Tanjung-Benoa-Transfer/Gili-Air", "12Go Link")</f>
        <v>12Go Link</v>
      </c>
      <c r="E6513" s="3" t="s">
        <v>6648</v>
      </c>
      <c r="K6513" s="5"/>
    </row>
    <row r="6514">
      <c r="A6514" s="3" t="s">
        <v>6597</v>
      </c>
      <c r="B6514" s="3" t="s">
        <v>6646</v>
      </c>
      <c r="C6514" s="3" t="s">
        <v>6659</v>
      </c>
      <c r="D6514" s="4" t="str">
        <f>HYPERLINK("https://12go.asia/en/travel/Umalas-Transfer/Gili-Air", "12Go Link")</f>
        <v>12Go Link</v>
      </c>
      <c r="E6514" s="3" t="s">
        <v>6648</v>
      </c>
      <c r="K6514" s="5"/>
    </row>
    <row r="6515">
      <c r="A6515" s="3" t="s">
        <v>6597</v>
      </c>
      <c r="B6515" s="3" t="s">
        <v>6660</v>
      </c>
      <c r="C6515" s="3" t="s">
        <v>6661</v>
      </c>
      <c r="D6515" s="4" t="str">
        <f>HYPERLINK("https://12go.asia/en/travel/Denpasar-Airport/Gili-Trawangan-Gili-Getaway", "12Go Link")</f>
        <v>12Go Link</v>
      </c>
      <c r="E6515" s="3" t="s">
        <v>6648</v>
      </c>
      <c r="K6515" s="5"/>
    </row>
    <row r="6516">
      <c r="A6516" s="3" t="s">
        <v>6597</v>
      </c>
      <c r="B6516" s="3" t="s">
        <v>6660</v>
      </c>
      <c r="C6516" s="3" t="s">
        <v>6662</v>
      </c>
      <c r="D6516" s="4" t="str">
        <f>HYPERLINK("https://12go.asia/en/travel/Denpasar-Transfer/Gili-Trawangan-Gili-Getaway", "12Go Link")</f>
        <v>12Go Link</v>
      </c>
      <c r="E6516" s="3" t="s">
        <v>6648</v>
      </c>
      <c r="K6516" s="5"/>
    </row>
    <row r="6517">
      <c r="A6517" s="3" t="s">
        <v>6597</v>
      </c>
      <c r="B6517" s="3" t="s">
        <v>6660</v>
      </c>
      <c r="C6517" s="3" t="s">
        <v>6663</v>
      </c>
      <c r="D6517" s="4" t="str">
        <f>HYPERLINK("https://12go.asia/en/travel/Jimbaran-Transfer/Gili-Trawangan-Gili-Getaway", "12Go Link")</f>
        <v>12Go Link</v>
      </c>
      <c r="E6517" s="3" t="s">
        <v>6648</v>
      </c>
      <c r="K6517" s="5"/>
    </row>
    <row r="6518">
      <c r="A6518" s="3" t="s">
        <v>6597</v>
      </c>
      <c r="B6518" s="3" t="s">
        <v>6660</v>
      </c>
      <c r="C6518" s="3" t="s">
        <v>6664</v>
      </c>
      <c r="D6518" s="4" t="str">
        <f>HYPERLINK("https://12go.asia/en/travel/Kerobokan-Transfer/Gili-Trawangan-Gili-Getaway", "12Go Link")</f>
        <v>12Go Link</v>
      </c>
      <c r="E6518" s="3" t="s">
        <v>6648</v>
      </c>
      <c r="K6518" s="5"/>
    </row>
    <row r="6519">
      <c r="A6519" s="3" t="s">
        <v>6597</v>
      </c>
      <c r="B6519" s="3" t="s">
        <v>6660</v>
      </c>
      <c r="C6519" s="3" t="s">
        <v>6665</v>
      </c>
      <c r="D6519" s="4" t="str">
        <f>HYPERLINK("https://12go.asia/en/travel/Kuta-Transfer/Gili-Trawangan-Gili-Getaway", "12Go Link")</f>
        <v>12Go Link</v>
      </c>
      <c r="E6519" s="3" t="s">
        <v>6648</v>
      </c>
      <c r="K6519" s="5"/>
    </row>
    <row r="6520">
      <c r="A6520" s="3" t="s">
        <v>6597</v>
      </c>
      <c r="B6520" s="3" t="s">
        <v>6660</v>
      </c>
      <c r="C6520" s="3" t="s">
        <v>6666</v>
      </c>
      <c r="D6520" s="4" t="str">
        <f>HYPERLINK("https://12go.asia/en/travel/Legian-Transfer/Gili-Trawangan-Gili-Getaway", "12Go Link")</f>
        <v>12Go Link</v>
      </c>
      <c r="E6520" s="3" t="s">
        <v>6648</v>
      </c>
      <c r="K6520" s="5"/>
    </row>
    <row r="6521">
      <c r="A6521" s="3" t="s">
        <v>6597</v>
      </c>
      <c r="B6521" s="3" t="s">
        <v>6660</v>
      </c>
      <c r="C6521" s="3" t="s">
        <v>6667</v>
      </c>
      <c r="D6521" s="4" t="str">
        <f>HYPERLINK("https://12go.asia/en/travel/Nusa-Dua-Transfer/Gili-Trawangan-Gili-Getaway", "12Go Link")</f>
        <v>12Go Link</v>
      </c>
      <c r="E6521" s="3" t="s">
        <v>6648</v>
      </c>
      <c r="K6521" s="5"/>
    </row>
    <row r="6522">
      <c r="A6522" s="3" t="s">
        <v>6597</v>
      </c>
      <c r="B6522" s="3" t="s">
        <v>6660</v>
      </c>
      <c r="C6522" s="3" t="s">
        <v>6668</v>
      </c>
      <c r="D6522" s="4" t="str">
        <f>HYPERLINK("https://12go.asia/en/travel/Seminyak-Transfer/Gili-Trawangan-Gili-Getaway", "12Go Link")</f>
        <v>12Go Link</v>
      </c>
      <c r="E6522" s="3" t="s">
        <v>6648</v>
      </c>
      <c r="K6522" s="5"/>
    </row>
    <row r="6523">
      <c r="A6523" s="3" t="s">
        <v>6597</v>
      </c>
      <c r="B6523" s="3" t="s">
        <v>6660</v>
      </c>
      <c r="C6523" s="3" t="s">
        <v>6669</v>
      </c>
      <c r="D6523" s="4" t="str">
        <f>HYPERLINK("https://12go.asia/en/travel/Tanjung-Benoa-Transfer/Gili-Trawangan-Gili-Getaway", "12Go Link")</f>
        <v>12Go Link</v>
      </c>
      <c r="E6523" s="3" t="s">
        <v>6648</v>
      </c>
      <c r="K6523" s="5"/>
    </row>
    <row r="6524">
      <c r="A6524" s="3" t="s">
        <v>6597</v>
      </c>
      <c r="B6524" s="3" t="s">
        <v>6660</v>
      </c>
      <c r="C6524" s="3" t="s">
        <v>6670</v>
      </c>
      <c r="D6524" s="4" t="str">
        <f>HYPERLINK("https://12go.asia/en/travel/Umalas-Transfer/Gili-Trawangan-Gili-Getaway", "12Go Link")</f>
        <v>12Go Link</v>
      </c>
      <c r="E6524" s="3" t="s">
        <v>6648</v>
      </c>
      <c r="K6524" s="5"/>
    </row>
    <row r="6525">
      <c r="A6525" s="3" t="s">
        <v>6597</v>
      </c>
      <c r="B6525" s="3" t="s">
        <v>6671</v>
      </c>
      <c r="C6525" s="3" t="s">
        <v>6672</v>
      </c>
      <c r="D6525" s="4" t="str">
        <f>HYPERLINK("https://12go.asia/en/travel/Candidasa-Transfer/Kintamani-Transfer", "12Go Link")</f>
        <v>12Go Link</v>
      </c>
      <c r="E6525" s="3" t="s">
        <v>6599</v>
      </c>
      <c r="K6525" s="5"/>
    </row>
    <row r="6526">
      <c r="A6526" s="3" t="s">
        <v>6597</v>
      </c>
      <c r="B6526" s="3" t="s">
        <v>6671</v>
      </c>
      <c r="C6526" s="3" t="s">
        <v>6673</v>
      </c>
      <c r="D6526" s="4" t="str">
        <f>HYPERLINK("https://12go.asia/en/travel/Lovina/Kintamani-Transfer", "12Go Link")</f>
        <v>12Go Link</v>
      </c>
      <c r="E6526" s="3" t="s">
        <v>6599</v>
      </c>
      <c r="K6526" s="5"/>
    </row>
    <row r="6527">
      <c r="A6527" s="3" t="s">
        <v>6597</v>
      </c>
      <c r="B6527" s="3" t="s">
        <v>6671</v>
      </c>
      <c r="C6527" s="3" t="s">
        <v>6674</v>
      </c>
      <c r="D6527" s="4" t="str">
        <f>HYPERLINK("https://12go.asia/en/travel/Padang-Bai-Port/Kintamani-Transfer", "12Go Link")</f>
        <v>12Go Link</v>
      </c>
      <c r="E6527" s="3" t="s">
        <v>6599</v>
      </c>
      <c r="K6527" s="5"/>
    </row>
    <row r="6528">
      <c r="A6528" s="3" t="s">
        <v>6597</v>
      </c>
      <c r="B6528" s="3" t="s">
        <v>6675</v>
      </c>
      <c r="C6528" s="3" t="s">
        <v>6676</v>
      </c>
      <c r="D6528" s="4" t="str">
        <f>HYPERLINK("https://12go.asia/en/travel/Denpasar-Airport/Bangsal-Pier", "12Go Link")</f>
        <v>12Go Link</v>
      </c>
      <c r="E6528" s="3" t="s">
        <v>6648</v>
      </c>
      <c r="K6528" s="5"/>
    </row>
    <row r="6529">
      <c r="A6529" s="3" t="s">
        <v>6597</v>
      </c>
      <c r="B6529" s="3" t="s">
        <v>6675</v>
      </c>
      <c r="C6529" s="3" t="s">
        <v>6677</v>
      </c>
      <c r="D6529" s="4" t="str">
        <f>HYPERLINK("https://12go.asia/en/travel/Denpasar-Airport/Gili-Gede", "12Go Link")</f>
        <v>12Go Link</v>
      </c>
      <c r="E6529" s="3" t="s">
        <v>6648</v>
      </c>
      <c r="K6529" s="5"/>
    </row>
    <row r="6530">
      <c r="A6530" s="3" t="s">
        <v>6597</v>
      </c>
      <c r="B6530" s="3" t="s">
        <v>6675</v>
      </c>
      <c r="C6530" s="3" t="s">
        <v>6678</v>
      </c>
      <c r="D6530" s="4" t="str">
        <f>HYPERLINK("https://12go.asia/en/travel/Denpasar-Transfer/Bangsal-Pier", "12Go Link")</f>
        <v>12Go Link</v>
      </c>
      <c r="E6530" s="3" t="s">
        <v>6648</v>
      </c>
      <c r="K6530" s="5"/>
    </row>
    <row r="6531">
      <c r="A6531" s="3" t="s">
        <v>6597</v>
      </c>
      <c r="B6531" s="3" t="s">
        <v>6675</v>
      </c>
      <c r="C6531" s="3" t="s">
        <v>6679</v>
      </c>
      <c r="D6531" s="4" t="str">
        <f>HYPERLINK("https://12go.asia/en/travel/Denpasar-Transfer/Gili-Gede", "12Go Link")</f>
        <v>12Go Link</v>
      </c>
      <c r="E6531" s="3" t="s">
        <v>6648</v>
      </c>
      <c r="K6531" s="5"/>
    </row>
    <row r="6532">
      <c r="A6532" s="3" t="s">
        <v>6597</v>
      </c>
      <c r="B6532" s="3" t="s">
        <v>6675</v>
      </c>
      <c r="C6532" s="3" t="s">
        <v>6680</v>
      </c>
      <c r="D6532" s="4" t="str">
        <f>HYPERLINK("https://12go.asia/en/travel/Jimbaran-Transfer/Bangsal-Pier", "12Go Link")</f>
        <v>12Go Link</v>
      </c>
      <c r="E6532" s="3" t="s">
        <v>6648</v>
      </c>
      <c r="K6532" s="5"/>
    </row>
    <row r="6533">
      <c r="A6533" s="3" t="s">
        <v>6597</v>
      </c>
      <c r="B6533" s="3" t="s">
        <v>6675</v>
      </c>
      <c r="C6533" s="3" t="s">
        <v>6681</v>
      </c>
      <c r="D6533" s="4" t="str">
        <f>HYPERLINK("https://12go.asia/en/travel/Jimbaran-Transfer/Gili-Gede", "12Go Link")</f>
        <v>12Go Link</v>
      </c>
      <c r="E6533" s="3" t="s">
        <v>6648</v>
      </c>
      <c r="K6533" s="5"/>
    </row>
    <row r="6534">
      <c r="A6534" s="3" t="s">
        <v>6597</v>
      </c>
      <c r="B6534" s="3" t="s">
        <v>6675</v>
      </c>
      <c r="C6534" s="3" t="s">
        <v>6682</v>
      </c>
      <c r="D6534" s="4" t="str">
        <f>HYPERLINK("https://12go.asia/en/travel/Kerobokan-Transfer/Bangsal-Pier", "12Go Link")</f>
        <v>12Go Link</v>
      </c>
      <c r="E6534" s="3" t="s">
        <v>6648</v>
      </c>
      <c r="K6534" s="5"/>
    </row>
    <row r="6535">
      <c r="A6535" s="3" t="s">
        <v>6597</v>
      </c>
      <c r="B6535" s="3" t="s">
        <v>6675</v>
      </c>
      <c r="C6535" s="3" t="s">
        <v>6683</v>
      </c>
      <c r="D6535" s="4" t="str">
        <f>HYPERLINK("https://12go.asia/en/travel/Kerobokan-Transfer/Gili-Gede", "12Go Link")</f>
        <v>12Go Link</v>
      </c>
      <c r="E6535" s="3" t="s">
        <v>6648</v>
      </c>
      <c r="K6535" s="5"/>
    </row>
    <row r="6536">
      <c r="A6536" s="3" t="s">
        <v>6597</v>
      </c>
      <c r="B6536" s="3" t="s">
        <v>6675</v>
      </c>
      <c r="C6536" s="3" t="s">
        <v>6684</v>
      </c>
      <c r="D6536" s="4" t="str">
        <f>HYPERLINK("https://12go.asia/en/travel/Kuta-Transfer/Bangsal-Pier", "12Go Link")</f>
        <v>12Go Link</v>
      </c>
      <c r="E6536" s="3" t="s">
        <v>6648</v>
      </c>
      <c r="K6536" s="5"/>
    </row>
    <row r="6537">
      <c r="A6537" s="3" t="s">
        <v>6597</v>
      </c>
      <c r="B6537" s="3" t="s">
        <v>6675</v>
      </c>
      <c r="C6537" s="3" t="s">
        <v>6685</v>
      </c>
      <c r="D6537" s="4" t="str">
        <f>HYPERLINK("https://12go.asia/en/travel/Kuta-Transfer/Gili-Gede", "12Go Link")</f>
        <v>12Go Link</v>
      </c>
      <c r="E6537" s="3" t="s">
        <v>6648</v>
      </c>
      <c r="K6537" s="5"/>
    </row>
    <row r="6538">
      <c r="A6538" s="3" t="s">
        <v>6597</v>
      </c>
      <c r="B6538" s="3" t="s">
        <v>6675</v>
      </c>
      <c r="C6538" s="3" t="s">
        <v>6686</v>
      </c>
      <c r="D6538" s="4" t="str">
        <f>HYPERLINK("https://12go.asia/en/travel/Legian-Transfer/Bangsal-Pier", "12Go Link")</f>
        <v>12Go Link</v>
      </c>
      <c r="E6538" s="3" t="s">
        <v>6648</v>
      </c>
      <c r="K6538" s="5"/>
    </row>
    <row r="6539">
      <c r="A6539" s="3" t="s">
        <v>6597</v>
      </c>
      <c r="B6539" s="3" t="s">
        <v>6675</v>
      </c>
      <c r="C6539" s="3" t="s">
        <v>6687</v>
      </c>
      <c r="D6539" s="4" t="str">
        <f>HYPERLINK("https://12go.asia/en/travel/Legian-Transfer/Gili-Gede", "12Go Link")</f>
        <v>12Go Link</v>
      </c>
      <c r="E6539" s="3" t="s">
        <v>6648</v>
      </c>
      <c r="K6539" s="5"/>
    </row>
    <row r="6540">
      <c r="A6540" s="3" t="s">
        <v>6597</v>
      </c>
      <c r="B6540" s="3" t="s">
        <v>6675</v>
      </c>
      <c r="C6540" s="3" t="s">
        <v>6688</v>
      </c>
      <c r="D6540" s="4" t="str">
        <f>HYPERLINK("https://12go.asia/en/travel/Nusa-Dua-Transfer/Bangsal-Pier", "12Go Link")</f>
        <v>12Go Link</v>
      </c>
      <c r="E6540" s="3" t="s">
        <v>6648</v>
      </c>
      <c r="K6540" s="5"/>
    </row>
    <row r="6541">
      <c r="A6541" s="3" t="s">
        <v>6597</v>
      </c>
      <c r="B6541" s="3" t="s">
        <v>6675</v>
      </c>
      <c r="C6541" s="3" t="s">
        <v>6689</v>
      </c>
      <c r="D6541" s="4" t="str">
        <f>HYPERLINK("https://12go.asia/en/travel/Nusa-Dua-Transfer/Gili-Gede", "12Go Link")</f>
        <v>12Go Link</v>
      </c>
      <c r="E6541" s="3" t="s">
        <v>6648</v>
      </c>
      <c r="K6541" s="5"/>
    </row>
    <row r="6542">
      <c r="A6542" s="3" t="s">
        <v>6597</v>
      </c>
      <c r="B6542" s="3" t="s">
        <v>6675</v>
      </c>
      <c r="C6542" s="3" t="s">
        <v>6690</v>
      </c>
      <c r="D6542" s="4" t="str">
        <f>HYPERLINK("https://12go.asia/en/travel/Seminyak-Transfer/Bangsal-Pier", "12Go Link")</f>
        <v>12Go Link</v>
      </c>
      <c r="E6542" s="3" t="s">
        <v>6648</v>
      </c>
      <c r="K6542" s="5"/>
    </row>
    <row r="6543">
      <c r="A6543" s="3" t="s">
        <v>6597</v>
      </c>
      <c r="B6543" s="3" t="s">
        <v>6675</v>
      </c>
      <c r="C6543" s="3" t="s">
        <v>6691</v>
      </c>
      <c r="D6543" s="4" t="str">
        <f>HYPERLINK("https://12go.asia/en/travel/Seminyak-Transfer/Gili-Gede", "12Go Link")</f>
        <v>12Go Link</v>
      </c>
      <c r="E6543" s="3" t="s">
        <v>6648</v>
      </c>
      <c r="K6543" s="5"/>
    </row>
    <row r="6544">
      <c r="A6544" s="3" t="s">
        <v>6597</v>
      </c>
      <c r="B6544" s="3" t="s">
        <v>6675</v>
      </c>
      <c r="C6544" s="3" t="s">
        <v>6692</v>
      </c>
      <c r="D6544" s="4" t="str">
        <f>HYPERLINK("https://12go.asia/en/travel/Tanjung-Benoa-Transfer/Bangsal-Pier", "12Go Link")</f>
        <v>12Go Link</v>
      </c>
      <c r="E6544" s="3" t="s">
        <v>6648</v>
      </c>
      <c r="K6544" s="5"/>
    </row>
    <row r="6545">
      <c r="A6545" s="3" t="s">
        <v>6597</v>
      </c>
      <c r="B6545" s="3" t="s">
        <v>6675</v>
      </c>
      <c r="C6545" s="3" t="s">
        <v>6693</v>
      </c>
      <c r="D6545" s="4" t="str">
        <f>HYPERLINK("https://12go.asia/en/travel/Tanjung-Benoa-Transfer/Gili-Gede", "12Go Link")</f>
        <v>12Go Link</v>
      </c>
      <c r="E6545" s="3" t="s">
        <v>6648</v>
      </c>
      <c r="K6545" s="5"/>
    </row>
    <row r="6546">
      <c r="A6546" s="3" t="s">
        <v>6597</v>
      </c>
      <c r="B6546" s="3" t="s">
        <v>6675</v>
      </c>
      <c r="C6546" s="3" t="s">
        <v>6694</v>
      </c>
      <c r="D6546" s="4" t="str">
        <f>HYPERLINK("https://12go.asia/en/travel/Umalas-Transfer/Bangsal-Pier", "12Go Link")</f>
        <v>12Go Link</v>
      </c>
      <c r="E6546" s="3" t="s">
        <v>6648</v>
      </c>
      <c r="K6546" s="5"/>
    </row>
    <row r="6547">
      <c r="A6547" s="3" t="s">
        <v>6597</v>
      </c>
      <c r="B6547" s="3" t="s">
        <v>6675</v>
      </c>
      <c r="C6547" s="3" t="s">
        <v>6695</v>
      </c>
      <c r="D6547" s="4" t="str">
        <f>HYPERLINK("https://12go.asia/en/travel/Umalas-Transfer/Gili-Gede", "12Go Link")</f>
        <v>12Go Link</v>
      </c>
      <c r="E6547" s="3" t="s">
        <v>6648</v>
      </c>
      <c r="K6547" s="5"/>
    </row>
    <row r="6548">
      <c r="A6548" s="3" t="s">
        <v>6597</v>
      </c>
      <c r="B6548" s="3" t="s">
        <v>6696</v>
      </c>
      <c r="C6548" s="3" t="s">
        <v>6697</v>
      </c>
      <c r="D6548" s="4" t="str">
        <f>HYPERLINK("https://12go.asia/en/travel/Denpasar-Airport/Buyuk-Harbor", "12Go Link")</f>
        <v>12Go Link</v>
      </c>
      <c r="E6548" s="3" t="s">
        <v>6648</v>
      </c>
      <c r="K6548" s="5"/>
    </row>
    <row r="6549">
      <c r="A6549" s="3" t="s">
        <v>6597</v>
      </c>
      <c r="B6549" s="3" t="s">
        <v>6696</v>
      </c>
      <c r="C6549" s="3" t="s">
        <v>6698</v>
      </c>
      <c r="D6549" s="4" t="str">
        <f>HYPERLINK("https://12go.asia/en/travel/Denpasar-Transfer/Buyuk-Harbor", "12Go Link")</f>
        <v>12Go Link</v>
      </c>
      <c r="E6549" s="3" t="s">
        <v>6648</v>
      </c>
      <c r="K6549" s="5"/>
    </row>
    <row r="6550">
      <c r="A6550" s="3" t="s">
        <v>6597</v>
      </c>
      <c r="B6550" s="3" t="s">
        <v>6696</v>
      </c>
      <c r="C6550" s="3" t="s">
        <v>6699</v>
      </c>
      <c r="D6550" s="4" t="str">
        <f>HYPERLINK("https://12go.asia/en/travel/Jimbaran-Transfer/Buyuk-Harbor", "12Go Link")</f>
        <v>12Go Link</v>
      </c>
      <c r="E6550" s="3" t="s">
        <v>6648</v>
      </c>
      <c r="K6550" s="5"/>
    </row>
    <row r="6551">
      <c r="A6551" s="3" t="s">
        <v>6597</v>
      </c>
      <c r="B6551" s="3" t="s">
        <v>6696</v>
      </c>
      <c r="C6551" s="3" t="s">
        <v>6700</v>
      </c>
      <c r="D6551" s="4" t="str">
        <f>HYPERLINK("https://12go.asia/en/travel/Kerobokan-Transfer/Buyuk-Harbor", "12Go Link")</f>
        <v>12Go Link</v>
      </c>
      <c r="E6551" s="3" t="s">
        <v>6648</v>
      </c>
      <c r="K6551" s="5"/>
    </row>
    <row r="6552">
      <c r="A6552" s="3" t="s">
        <v>6597</v>
      </c>
      <c r="B6552" s="3" t="s">
        <v>6696</v>
      </c>
      <c r="C6552" s="3" t="s">
        <v>6701</v>
      </c>
      <c r="D6552" s="4" t="str">
        <f>HYPERLINK("https://12go.asia/en/travel/Kuta-Transfer/Buyuk-Harbor", "12Go Link")</f>
        <v>12Go Link</v>
      </c>
      <c r="E6552" s="3" t="s">
        <v>6648</v>
      </c>
      <c r="K6552" s="5"/>
    </row>
    <row r="6553">
      <c r="A6553" s="3" t="s">
        <v>6597</v>
      </c>
      <c r="B6553" s="3" t="s">
        <v>6696</v>
      </c>
      <c r="C6553" s="3" t="s">
        <v>6702</v>
      </c>
      <c r="D6553" s="4" t="str">
        <f>HYPERLINK("https://12go.asia/en/travel/Legian-Transfer/Buyuk-Harbor", "12Go Link")</f>
        <v>12Go Link</v>
      </c>
      <c r="E6553" s="3" t="s">
        <v>6648</v>
      </c>
      <c r="K6553" s="5"/>
    </row>
    <row r="6554">
      <c r="A6554" s="3" t="s">
        <v>6597</v>
      </c>
      <c r="B6554" s="3" t="s">
        <v>6696</v>
      </c>
      <c r="C6554" s="3" t="s">
        <v>6703</v>
      </c>
      <c r="D6554" s="4" t="str">
        <f>HYPERLINK("https://12go.asia/en/travel/Nusa-Dua-Transfer/Buyuk-Harbor", "12Go Link")</f>
        <v>12Go Link</v>
      </c>
      <c r="E6554" s="3" t="s">
        <v>6648</v>
      </c>
      <c r="K6554" s="5"/>
    </row>
    <row r="6555">
      <c r="A6555" s="3" t="s">
        <v>6597</v>
      </c>
      <c r="B6555" s="3" t="s">
        <v>6696</v>
      </c>
      <c r="C6555" s="3" t="s">
        <v>6704</v>
      </c>
      <c r="D6555" s="4" t="str">
        <f>HYPERLINK("https://12go.asia/en/travel/Seminyak-Transfer/Buyuk-Harbor", "12Go Link")</f>
        <v>12Go Link</v>
      </c>
      <c r="E6555" s="3" t="s">
        <v>6648</v>
      </c>
      <c r="K6555" s="5"/>
    </row>
    <row r="6556">
      <c r="A6556" s="3" t="s">
        <v>6597</v>
      </c>
      <c r="B6556" s="3" t="s">
        <v>6696</v>
      </c>
      <c r="C6556" s="3" t="s">
        <v>6705</v>
      </c>
      <c r="D6556" s="4" t="str">
        <f>HYPERLINK("https://12go.asia/en/travel/Serangan-Pier-Gili-Getaway/Buyuk-Harbor", "12Go Link")</f>
        <v>12Go Link</v>
      </c>
      <c r="E6556" s="3" t="s">
        <v>6648</v>
      </c>
      <c r="K6556" s="5"/>
    </row>
    <row r="6557">
      <c r="A6557" s="3" t="s">
        <v>6597</v>
      </c>
      <c r="B6557" s="3" t="s">
        <v>6696</v>
      </c>
      <c r="C6557" s="3" t="s">
        <v>6706</v>
      </c>
      <c r="D6557" s="4" t="str">
        <f>HYPERLINK("https://12go.asia/en/travel/Tanjung-Benoa-Transfer/Buyuk-Harbor", "12Go Link")</f>
        <v>12Go Link</v>
      </c>
      <c r="E6557" s="3" t="s">
        <v>6648</v>
      </c>
      <c r="K6557" s="5"/>
    </row>
    <row r="6558">
      <c r="A6558" s="3" t="s">
        <v>6597</v>
      </c>
      <c r="B6558" s="3" t="s">
        <v>6696</v>
      </c>
      <c r="C6558" s="3" t="s">
        <v>6707</v>
      </c>
      <c r="D6558" s="4" t="str">
        <f>HYPERLINK("https://12go.asia/en/travel/Umalas-Transfer/Buyuk-Harbor", "12Go Link")</f>
        <v>12Go Link</v>
      </c>
      <c r="E6558" s="3" t="s">
        <v>6648</v>
      </c>
      <c r="K6558" s="5"/>
    </row>
    <row r="6559">
      <c r="A6559" s="3" t="s">
        <v>6597</v>
      </c>
      <c r="B6559" s="3" t="s">
        <v>6708</v>
      </c>
      <c r="C6559" s="3" t="s">
        <v>6709</v>
      </c>
      <c r="D6559" s="4" t="str">
        <f>HYPERLINK("https://12go.asia/en/travel/Amed-Transfer/Sanur-Transfer", "12Go Link")</f>
        <v>12Go Link</v>
      </c>
      <c r="E6559" s="3" t="s">
        <v>6599</v>
      </c>
      <c r="K6559" s="5"/>
    </row>
    <row r="6560">
      <c r="A6560" s="3" t="s">
        <v>6597</v>
      </c>
      <c r="B6560" s="3" t="s">
        <v>6708</v>
      </c>
      <c r="C6560" s="3" t="s">
        <v>6710</v>
      </c>
      <c r="D6560" s="4" t="str">
        <f>HYPERLINK("https://12go.asia/en/travel/Bangsal-Harbour/Sanur-Wijaya-Buyuk", "12Go Link")</f>
        <v>12Go Link</v>
      </c>
      <c r="E6560" s="3" t="s">
        <v>6711</v>
      </c>
      <c r="K6560" s="5"/>
    </row>
    <row r="6561">
      <c r="A6561" s="3" t="s">
        <v>6597</v>
      </c>
      <c r="B6561" s="3" t="s">
        <v>6708</v>
      </c>
      <c r="C6561" s="3" t="s">
        <v>6712</v>
      </c>
      <c r="D6561" s="4" t="str">
        <f>HYPERLINK("https://12go.asia/en/travel/Candidasa-Transfer/Sanur-Transfer", "12Go Link")</f>
        <v>12Go Link</v>
      </c>
      <c r="E6561" s="3" t="s">
        <v>6599</v>
      </c>
      <c r="K6561" s="5"/>
    </row>
    <row r="6562">
      <c r="A6562" s="3" t="s">
        <v>6597</v>
      </c>
      <c r="B6562" s="3" t="s">
        <v>6708</v>
      </c>
      <c r="C6562" s="3" t="s">
        <v>6713</v>
      </c>
      <c r="D6562" s="4" t="str">
        <f>HYPERLINK("https://12go.asia/en/travel/Canggu-Transfer/Sanur-Transfer", "12Go Link")</f>
        <v>12Go Link</v>
      </c>
      <c r="E6562" s="3" t="s">
        <v>6599</v>
      </c>
      <c r="K6562" s="5"/>
    </row>
    <row r="6563">
      <c r="A6563" s="3" t="s">
        <v>6597</v>
      </c>
      <c r="B6563" s="3" t="s">
        <v>6708</v>
      </c>
      <c r="C6563" s="3" t="s">
        <v>6714</v>
      </c>
      <c r="D6563" s="4" t="str">
        <f>HYPERLINK("https://12go.asia/en/travel/Jimbaran-Transfer/Sanur-Transfer", "12Go Link")</f>
        <v>12Go Link</v>
      </c>
      <c r="E6563" s="3" t="s">
        <v>6599</v>
      </c>
      <c r="K6563" s="5"/>
    </row>
    <row r="6564">
      <c r="A6564" s="3" t="s">
        <v>6597</v>
      </c>
      <c r="B6564" s="3" t="s">
        <v>6708</v>
      </c>
      <c r="C6564" s="3" t="s">
        <v>6715</v>
      </c>
      <c r="D6564" s="4" t="str">
        <f>HYPERLINK("https://12go.asia/en/travel/Kuta-Transfer/Sanur-Transfer", "12Go Link")</f>
        <v>12Go Link</v>
      </c>
      <c r="E6564" s="3" t="s">
        <v>6599</v>
      </c>
      <c r="K6564" s="5"/>
    </row>
    <row r="6565">
      <c r="A6565" s="3" t="s">
        <v>6597</v>
      </c>
      <c r="B6565" s="3" t="s">
        <v>6708</v>
      </c>
      <c r="C6565" s="3" t="s">
        <v>6716</v>
      </c>
      <c r="D6565" s="4" t="str">
        <f>HYPERLINK("https://12go.asia/en/travel/Lovina/Sanur-Transfer", "12Go Link")</f>
        <v>12Go Link</v>
      </c>
      <c r="E6565" s="3" t="s">
        <v>6599</v>
      </c>
      <c r="K6565" s="5"/>
    </row>
    <row r="6566">
      <c r="A6566" s="3" t="s">
        <v>6597</v>
      </c>
      <c r="B6566" s="3" t="s">
        <v>6708</v>
      </c>
      <c r="C6566" s="3" t="s">
        <v>6717</v>
      </c>
      <c r="D6566" s="4" t="str">
        <f>HYPERLINK("https://12go.asia/en/travel/Nusa-Dua-Transfer/Sanur-Transfer", "12Go Link")</f>
        <v>12Go Link</v>
      </c>
      <c r="E6566" s="3" t="s">
        <v>6599</v>
      </c>
      <c r="K6566" s="5"/>
    </row>
    <row r="6567">
      <c r="A6567" s="3" t="s">
        <v>6597</v>
      </c>
      <c r="B6567" s="3" t="s">
        <v>6708</v>
      </c>
      <c r="C6567" s="3" t="s">
        <v>6718</v>
      </c>
      <c r="D6567" s="4" t="str">
        <f>HYPERLINK("https://12go.asia/en/travel/Padang-Bai-Port/Sanur-Transfer", "12Go Link")</f>
        <v>12Go Link</v>
      </c>
      <c r="E6567" s="3" t="s">
        <v>6599</v>
      </c>
      <c r="K6567" s="5"/>
    </row>
    <row r="6568">
      <c r="A6568" s="3" t="s">
        <v>6597</v>
      </c>
      <c r="B6568" s="3" t="s">
        <v>6708</v>
      </c>
      <c r="C6568" s="3" t="s">
        <v>6719</v>
      </c>
      <c r="D6568" s="4" t="str">
        <f>HYPERLINK("https://12go.asia/en/travel/Pecatu-Transfer/Sanur-Transfer", "12Go Link")</f>
        <v>12Go Link</v>
      </c>
      <c r="E6568" s="3" t="s">
        <v>6599</v>
      </c>
      <c r="K6568" s="5"/>
    </row>
    <row r="6569">
      <c r="A6569" s="3" t="s">
        <v>6597</v>
      </c>
      <c r="B6569" s="3" t="s">
        <v>6708</v>
      </c>
      <c r="C6569" s="3" t="s">
        <v>6720</v>
      </c>
      <c r="D6569" s="4" t="str">
        <f>HYPERLINK("https://12go.asia/en/travel/Pemuteran-Transfer/Sanur-Transfer", "12Go Link")</f>
        <v>12Go Link</v>
      </c>
      <c r="E6569" s="3" t="s">
        <v>6599</v>
      </c>
      <c r="K6569" s="5"/>
    </row>
    <row r="6570">
      <c r="A6570" s="3" t="s">
        <v>6597</v>
      </c>
      <c r="B6570" s="3" t="s">
        <v>6708</v>
      </c>
      <c r="C6570" s="3" t="s">
        <v>6721</v>
      </c>
      <c r="D6570" s="4" t="str">
        <f>HYPERLINK("https://12go.asia/en/travel/Seminyak-Transfer/Sanur-Transfer", "12Go Link")</f>
        <v>12Go Link</v>
      </c>
      <c r="E6570" s="3" t="s">
        <v>6599</v>
      </c>
      <c r="K6570" s="5"/>
    </row>
    <row r="6571">
      <c r="A6571" s="3" t="s">
        <v>6597</v>
      </c>
      <c r="B6571" s="3" t="s">
        <v>6708</v>
      </c>
      <c r="C6571" s="3" t="s">
        <v>6722</v>
      </c>
      <c r="D6571" s="4" t="str">
        <f>HYPERLINK("https://12go.asia/en/travel/Tulamben-Transfer/Sanur-Transfer", "12Go Link")</f>
        <v>12Go Link</v>
      </c>
      <c r="E6571" s="3" t="s">
        <v>6599</v>
      </c>
      <c r="K6571" s="5"/>
    </row>
    <row r="6572">
      <c r="A6572" s="3" t="s">
        <v>6597</v>
      </c>
      <c r="B6572" s="3" t="s">
        <v>6708</v>
      </c>
      <c r="C6572" s="3" t="s">
        <v>6723</v>
      </c>
      <c r="D6572" s="4" t="str">
        <f>HYPERLINK("https://12go.asia/en/travel/Uluwatu-Transfer/Sanur-Transfer", "12Go Link")</f>
        <v>12Go Link</v>
      </c>
      <c r="E6572" s="3" t="s">
        <v>6599</v>
      </c>
      <c r="K6572" s="5"/>
    </row>
    <row r="6573">
      <c r="A6573" s="3" t="s">
        <v>6597</v>
      </c>
      <c r="B6573" s="3" t="s">
        <v>6724</v>
      </c>
      <c r="C6573" s="3" t="s">
        <v>6725</v>
      </c>
      <c r="D6573" s="4" t="str">
        <f>HYPERLINK("https://12go.asia/en/travel/Canggu-Transfer/Ubud-Transfer", "12Go Link")</f>
        <v>12Go Link</v>
      </c>
      <c r="E6573" s="3" t="s">
        <v>6599</v>
      </c>
      <c r="K6573" s="5"/>
    </row>
    <row r="6574">
      <c r="A6574" s="3" t="s">
        <v>6597</v>
      </c>
      <c r="B6574" s="3" t="s">
        <v>6724</v>
      </c>
      <c r="C6574" s="3" t="s">
        <v>6726</v>
      </c>
      <c r="D6574" s="4" t="str">
        <f>HYPERLINK("https://12go.asia/en/travel/Jimbaran-Transfer/Ubud-Transfer", "12Go Link")</f>
        <v>12Go Link</v>
      </c>
      <c r="E6574" s="3" t="s">
        <v>6599</v>
      </c>
      <c r="K6574" s="5"/>
    </row>
    <row r="6575">
      <c r="A6575" s="3" t="s">
        <v>6597</v>
      </c>
      <c r="B6575" s="3" t="s">
        <v>6724</v>
      </c>
      <c r="C6575" s="3" t="s">
        <v>6727</v>
      </c>
      <c r="D6575" s="4" t="str">
        <f>HYPERLINK("https://12go.asia/en/travel/Kuta-Transfer/Ubud-Transfer", "12Go Link")</f>
        <v>12Go Link</v>
      </c>
      <c r="E6575" s="3" t="s">
        <v>6599</v>
      </c>
      <c r="K6575" s="5"/>
    </row>
    <row r="6576">
      <c r="A6576" s="3" t="s">
        <v>6597</v>
      </c>
      <c r="B6576" s="3" t="s">
        <v>6724</v>
      </c>
      <c r="C6576" s="3" t="s">
        <v>6728</v>
      </c>
      <c r="D6576" s="4" t="str">
        <f>HYPERLINK("https://12go.asia/en/travel/Lebih-Transfer/Ubud-Transfer", "12Go Link")</f>
        <v>12Go Link</v>
      </c>
      <c r="E6576" s="3" t="s">
        <v>6599</v>
      </c>
      <c r="K6576" s="5"/>
    </row>
    <row r="6577">
      <c r="A6577" s="3" t="s">
        <v>6597</v>
      </c>
      <c r="B6577" s="3" t="s">
        <v>6724</v>
      </c>
      <c r="C6577" s="3" t="s">
        <v>6729</v>
      </c>
      <c r="D6577" s="4" t="str">
        <f>HYPERLINK("https://12go.asia/en/travel/Lodtunduh-Transfer/Ubud-Transfer", "12Go Link")</f>
        <v>12Go Link</v>
      </c>
      <c r="E6577" s="3" t="s">
        <v>6599</v>
      </c>
      <c r="K6577" s="5"/>
    </row>
    <row r="6578">
      <c r="A6578" s="3" t="s">
        <v>6597</v>
      </c>
      <c r="B6578" s="3" t="s">
        <v>6724</v>
      </c>
      <c r="C6578" s="3" t="s">
        <v>6730</v>
      </c>
      <c r="D6578" s="4" t="str">
        <f>HYPERLINK("https://12go.asia/en/travel/Lovina/Ubud-Transfer", "12Go Link")</f>
        <v>12Go Link</v>
      </c>
      <c r="E6578" s="3" t="s">
        <v>6599</v>
      </c>
      <c r="K6578" s="5"/>
    </row>
    <row r="6579">
      <c r="A6579" s="3" t="s">
        <v>6597</v>
      </c>
      <c r="B6579" s="3" t="s">
        <v>6724</v>
      </c>
      <c r="C6579" s="3" t="s">
        <v>6731</v>
      </c>
      <c r="D6579" s="4" t="str">
        <f>HYPERLINK("https://12go.asia/en/travel/Nusa-Dua-Transfer/Ubud-Transfer", "12Go Link")</f>
        <v>12Go Link</v>
      </c>
      <c r="E6579" s="3" t="s">
        <v>6599</v>
      </c>
      <c r="K6579" s="5"/>
    </row>
    <row r="6580">
      <c r="A6580" s="3" t="s">
        <v>6597</v>
      </c>
      <c r="B6580" s="3" t="s">
        <v>6724</v>
      </c>
      <c r="C6580" s="3" t="s">
        <v>6732</v>
      </c>
      <c r="D6580" s="4" t="str">
        <f>HYPERLINK("https://12go.asia/en/travel/Padang-Bai-Central-Parking/Coco-Supermarket-Ubud", "12Go Link")</f>
        <v>12Go Link</v>
      </c>
      <c r="E6580" s="3" t="s">
        <v>6602</v>
      </c>
      <c r="K6580" s="5"/>
    </row>
    <row r="6581">
      <c r="A6581" s="3" t="s">
        <v>6597</v>
      </c>
      <c r="B6581" s="3" t="s">
        <v>6724</v>
      </c>
      <c r="C6581" s="3" t="s">
        <v>6733</v>
      </c>
      <c r="D6581" s="4" t="str">
        <f>HYPERLINK("https://12go.asia/en/travel/Payangan-Transfer/Ubud-Transfer", "12Go Link")</f>
        <v>12Go Link</v>
      </c>
      <c r="E6581" s="3" t="s">
        <v>6599</v>
      </c>
      <c r="K6581" s="5"/>
    </row>
    <row r="6582">
      <c r="A6582" s="3" t="s">
        <v>6597</v>
      </c>
      <c r="B6582" s="3" t="s">
        <v>6724</v>
      </c>
      <c r="C6582" s="3" t="s">
        <v>6734</v>
      </c>
      <c r="D6582" s="4" t="str">
        <f>HYPERLINK("https://12go.asia/en/travel/Pecatu-Transfer/Ubud-Transfer", "12Go Link")</f>
        <v>12Go Link</v>
      </c>
      <c r="E6582" s="3" t="s">
        <v>6599</v>
      </c>
      <c r="K6582" s="5"/>
    </row>
    <row r="6583">
      <c r="A6583" s="3" t="s">
        <v>6597</v>
      </c>
      <c r="B6583" s="3" t="s">
        <v>6724</v>
      </c>
      <c r="C6583" s="3" t="s">
        <v>6735</v>
      </c>
      <c r="D6583" s="4" t="str">
        <f>HYPERLINK("https://12go.asia/en/travel/Pemuteran-Transfer/Ubud-Transfer", "12Go Link")</f>
        <v>12Go Link</v>
      </c>
      <c r="E6583" s="3" t="s">
        <v>6599</v>
      </c>
      <c r="K6583" s="5"/>
    </row>
    <row r="6584">
      <c r="A6584" s="3" t="s">
        <v>6597</v>
      </c>
      <c r="B6584" s="3" t="s">
        <v>6724</v>
      </c>
      <c r="C6584" s="3" t="s">
        <v>6736</v>
      </c>
      <c r="D6584" s="4" t="str">
        <f>HYPERLINK("https://12go.asia/en/travel/Seminyak-Transfer/Ubud-Transfer", "12Go Link")</f>
        <v>12Go Link</v>
      </c>
      <c r="E6584" s="3" t="s">
        <v>6599</v>
      </c>
      <c r="K6584" s="5"/>
    </row>
    <row r="6585">
      <c r="A6585" s="3" t="s">
        <v>6597</v>
      </c>
      <c r="B6585" s="3" t="s">
        <v>6724</v>
      </c>
      <c r="C6585" s="3" t="s">
        <v>6737</v>
      </c>
      <c r="D6585" s="4" t="str">
        <f>HYPERLINK("https://12go.asia/en/travel/Sukawati-Transfer/Ubud-Transfer", "12Go Link")</f>
        <v>12Go Link</v>
      </c>
      <c r="E6585" s="3" t="s">
        <v>6599</v>
      </c>
      <c r="K6585" s="5"/>
    </row>
    <row r="6586">
      <c r="A6586" s="3" t="s">
        <v>6597</v>
      </c>
      <c r="B6586" s="3" t="s">
        <v>6724</v>
      </c>
      <c r="C6586" s="3" t="s">
        <v>6738</v>
      </c>
      <c r="D6586" s="4" t="str">
        <f>HYPERLINK("https://12go.asia/en/travel/Tampaksiring-Transfer/Ubud-Transfer", "12Go Link")</f>
        <v>12Go Link</v>
      </c>
      <c r="E6586" s="3" t="s">
        <v>6599</v>
      </c>
      <c r="K6586" s="5"/>
    </row>
    <row r="6587">
      <c r="A6587" s="3" t="s">
        <v>6597</v>
      </c>
      <c r="B6587" s="3" t="s">
        <v>6724</v>
      </c>
      <c r="C6587" s="3" t="s">
        <v>6739</v>
      </c>
      <c r="D6587" s="4" t="str">
        <f>HYPERLINK("https://12go.asia/en/travel/Taro-Transfer/Ubud-Transfer", "12Go Link")</f>
        <v>12Go Link</v>
      </c>
      <c r="E6587" s="3" t="s">
        <v>6599</v>
      </c>
      <c r="K6587" s="5"/>
    </row>
    <row r="6588">
      <c r="A6588" s="3" t="s">
        <v>6597</v>
      </c>
      <c r="B6588" s="3" t="s">
        <v>6724</v>
      </c>
      <c r="C6588" s="3" t="s">
        <v>6740</v>
      </c>
      <c r="D6588" s="4" t="str">
        <f>HYPERLINK("https://12go.asia/en/travel/Tegalalang-Transfer/Ubud-Transfer", "12Go Link")</f>
        <v>12Go Link</v>
      </c>
      <c r="E6588" s="3" t="s">
        <v>6599</v>
      </c>
      <c r="K6588" s="5"/>
    </row>
    <row r="6589">
      <c r="A6589" s="3" t="s">
        <v>6597</v>
      </c>
      <c r="B6589" s="3" t="s">
        <v>6724</v>
      </c>
      <c r="C6589" s="3" t="s">
        <v>6741</v>
      </c>
      <c r="D6589" s="4" t="str">
        <f>HYPERLINK("https://12go.asia/en/travel/Tulamben-Transfer/Ubud-Transfer", "12Go Link")</f>
        <v>12Go Link</v>
      </c>
      <c r="E6589" s="3" t="s">
        <v>6599</v>
      </c>
      <c r="K6589" s="5"/>
    </row>
    <row r="6590">
      <c r="A6590" s="3" t="s">
        <v>6597</v>
      </c>
      <c r="B6590" s="3" t="s">
        <v>6724</v>
      </c>
      <c r="C6590" s="3" t="s">
        <v>6742</v>
      </c>
      <c r="D6590" s="4" t="str">
        <f>HYPERLINK("https://12go.asia/en/travel/Uluwatu-Transfer/Ubud-Transfer", "12Go Link")</f>
        <v>12Go Link</v>
      </c>
      <c r="E6590" s="3" t="s">
        <v>6599</v>
      </c>
      <c r="K6590" s="5"/>
    </row>
    <row r="6591">
      <c r="A6591" s="3" t="s">
        <v>6743</v>
      </c>
      <c r="B6591" s="3" t="s">
        <v>6744</v>
      </c>
      <c r="C6591" s="3" t="s">
        <v>6745</v>
      </c>
      <c r="D6591" s="4" t="str">
        <f>HYPERLINK("https://12go.asia/en/travel/Pelabuhan-Ketapang/Kantor-Wisata-Komodo", "12Go Link")</f>
        <v>12Go Link</v>
      </c>
      <c r="E6591" s="3" t="s">
        <v>6746</v>
      </c>
      <c r="K6591" s="5"/>
    </row>
    <row r="6592">
      <c r="A6592" s="3" t="s">
        <v>6743</v>
      </c>
      <c r="B6592" s="3" t="s">
        <v>6747</v>
      </c>
      <c r="C6592" s="3" t="s">
        <v>6748</v>
      </c>
      <c r="D6592" s="4" t="str">
        <f>HYPERLINK("https://12go.asia/en/travel/Pelabuhan-Ketapang/Kantor-Wisata-Komodo-Gilimanuk", "12Go Link")</f>
        <v>12Go Link</v>
      </c>
      <c r="E6592" s="3" t="s">
        <v>6746</v>
      </c>
      <c r="K6592" s="5"/>
    </row>
    <row r="6593">
      <c r="A6593" s="3" t="s">
        <v>6743</v>
      </c>
      <c r="B6593" s="3" t="s">
        <v>6749</v>
      </c>
      <c r="C6593" s="3" t="s">
        <v>6750</v>
      </c>
      <c r="D6593" s="4" t="str">
        <f>HYPERLINK("https://12go.asia/en/travel/Pelabuhan-Ketapang/Terminal-Bus-Kebumen", "12Go Link")</f>
        <v>12Go Link</v>
      </c>
      <c r="E6593" s="3" t="s">
        <v>6746</v>
      </c>
      <c r="K6593" s="5"/>
    </row>
    <row r="6594">
      <c r="A6594" s="3" t="s">
        <v>6743</v>
      </c>
      <c r="B6594" s="3" t="s">
        <v>6751</v>
      </c>
      <c r="C6594" s="3" t="s">
        <v>6752</v>
      </c>
      <c r="D6594" s="4" t="str">
        <f>HYPERLINK("https://12go.asia/en/travel/Pelabuhan-Ketapang/Kapal", "12Go Link")</f>
        <v>12Go Link</v>
      </c>
      <c r="E6594" s="3" t="s">
        <v>6746</v>
      </c>
      <c r="K6594" s="5"/>
    </row>
    <row r="6595">
      <c r="A6595" s="3" t="s">
        <v>6743</v>
      </c>
      <c r="B6595" s="3" t="s">
        <v>6751</v>
      </c>
      <c r="C6595" s="3" t="s">
        <v>6753</v>
      </c>
      <c r="D6595" s="4" t="str">
        <f>HYPERLINK("https://12go.asia/en/travel/Pelabuhan-Ketapang/Terminal-Mengwi", "12Go Link")</f>
        <v>12Go Link</v>
      </c>
      <c r="E6595" s="3" t="s">
        <v>6746</v>
      </c>
      <c r="K6595" s="5"/>
    </row>
    <row r="6596">
      <c r="A6596" s="3" t="s">
        <v>6743</v>
      </c>
      <c r="B6596" s="3" t="s">
        <v>6754</v>
      </c>
      <c r="C6596" s="3" t="s">
        <v>6755</v>
      </c>
      <c r="D6596" s="4" t="str">
        <f>HYPERLINK("https://12go.asia/en/travel/Pelabuhan-Ketapang/Alun-Alun-Kota-Negara", "12Go Link")</f>
        <v>12Go Link</v>
      </c>
      <c r="E6596" s="3" t="s">
        <v>6746</v>
      </c>
      <c r="K6596" s="5"/>
    </row>
    <row r="6597">
      <c r="A6597" s="3" t="s">
        <v>6743</v>
      </c>
      <c r="B6597" s="3" t="s">
        <v>6754</v>
      </c>
      <c r="C6597" s="3" t="s">
        <v>6756</v>
      </c>
      <c r="D6597" s="4" t="str">
        <f>HYPERLINK("https://12go.asia/en/travel/Pelabuhan-Ketapang/Terminal-Baru-Negara", "12Go Link")</f>
        <v>12Go Link</v>
      </c>
      <c r="E6597" s="3" t="s">
        <v>6746</v>
      </c>
      <c r="K6597" s="5"/>
    </row>
    <row r="6598">
      <c r="A6598" s="3" t="s">
        <v>6743</v>
      </c>
      <c r="B6598" s="3" t="s">
        <v>6757</v>
      </c>
      <c r="C6598" s="3" t="s">
        <v>6758</v>
      </c>
      <c r="D6598" s="4" t="str">
        <f>HYPERLINK("https://12go.asia/en/travel/Pelabuhan-Ketapang/Terminal-Purwokerto", "12Go Link")</f>
        <v>12Go Link</v>
      </c>
      <c r="E6598" s="3" t="s">
        <v>6746</v>
      </c>
      <c r="K6598" s="5"/>
    </row>
    <row r="6599">
      <c r="A6599" s="3" t="s">
        <v>6743</v>
      </c>
      <c r="B6599" s="3" t="s">
        <v>6759</v>
      </c>
      <c r="C6599" s="3" t="s">
        <v>6760</v>
      </c>
      <c r="D6599" s="4" t="str">
        <f>HYPERLINK("https://12go.asia/en/travel/Pelabuhan-Ketapang/Terminal-Purabaya-Bungurasih", "12Go Link")</f>
        <v>12Go Link</v>
      </c>
      <c r="E6599" s="3" t="s">
        <v>6746</v>
      </c>
      <c r="K6599" s="5"/>
    </row>
    <row r="6600">
      <c r="A6600" s="3" t="s">
        <v>6743</v>
      </c>
      <c r="B6600" s="3" t="s">
        <v>6761</v>
      </c>
      <c r="C6600" s="3" t="s">
        <v>6762</v>
      </c>
      <c r="D6600" s="4" t="str">
        <f>HYPERLINK("https://12go.asia/en/travel/Pelabuhan-Ketapang/Terminal-Tirtonadi", "12Go Link")</f>
        <v>12Go Link</v>
      </c>
      <c r="E6600" s="3" t="s">
        <v>6746</v>
      </c>
      <c r="K6600" s="5"/>
    </row>
    <row r="6601">
      <c r="A6601" s="3" t="s">
        <v>6743</v>
      </c>
      <c r="B6601" s="3" t="s">
        <v>6763</v>
      </c>
      <c r="C6601" s="3" t="s">
        <v>6764</v>
      </c>
      <c r="D6601" s="4" t="str">
        <f>HYPERLINK("https://12go.asia/en/travel/Pelabuhan-Ketapang/Terminal-Pesiapan", "12Go Link")</f>
        <v>12Go Link</v>
      </c>
      <c r="E6601" s="3" t="s">
        <v>6746</v>
      </c>
      <c r="K6601" s="5"/>
    </row>
    <row r="6602">
      <c r="A6602" s="3" t="s">
        <v>6743</v>
      </c>
      <c r="B6602" s="3" t="s">
        <v>6765</v>
      </c>
      <c r="C6602" s="3" t="s">
        <v>6766</v>
      </c>
      <c r="D6602" s="4" t="str">
        <f>HYPERLINK("https://12go.asia/en/travel/Pelabuhan-Ketapang/Terminal-Giwangan-Yogyakarta", "12Go Link")</f>
        <v>12Go Link</v>
      </c>
      <c r="E6602" s="3" t="s">
        <v>6746</v>
      </c>
      <c r="K6602" s="5"/>
    </row>
    <row r="6603">
      <c r="A6603" s="3" t="s">
        <v>6743</v>
      </c>
      <c r="B6603" s="3" t="s">
        <v>6765</v>
      </c>
      <c r="C6603" s="3" t="s">
        <v>6767</v>
      </c>
      <c r="D6603" s="4" t="str">
        <f>HYPERLINK("https://12go.asia/en/travel/Pelabuhan-Ketapang/Wisata-Komodo-Janti", "12Go Link")</f>
        <v>12Go Link</v>
      </c>
      <c r="E6603" s="3" t="s">
        <v>6746</v>
      </c>
      <c r="K6603" s="5"/>
    </row>
    <row r="6604">
      <c r="A6604" s="3" t="s">
        <v>6768</v>
      </c>
      <c r="B6604" s="3" t="s">
        <v>6769</v>
      </c>
      <c r="C6604" s="3" t="s">
        <v>6770</v>
      </c>
      <c r="D6604" s="4" t="str">
        <f>HYPERLINK("https://12go.asia/en/travel/bekasi/ambon", "12Go Link")</f>
        <v>12Go Link</v>
      </c>
      <c r="E6604" s="3" t="s">
        <v>3568</v>
      </c>
      <c r="K6604" s="5"/>
    </row>
    <row r="6605">
      <c r="A6605" s="3" t="s">
        <v>6768</v>
      </c>
      <c r="B6605" s="3" t="s">
        <v>6771</v>
      </c>
      <c r="C6605" s="3" t="s">
        <v>6772</v>
      </c>
      <c r="D6605" s="4" t="str">
        <f>HYPERLINK("https://12go.asia/en/travel/bekasi/bangka-belitung-islands", "12Go Link")</f>
        <v>12Go Link</v>
      </c>
      <c r="E6605" s="3" t="s">
        <v>3568</v>
      </c>
      <c r="K6605" s="5"/>
    </row>
    <row r="6606">
      <c r="A6606" s="3" t="s">
        <v>6768</v>
      </c>
      <c r="B6606" s="3" t="s">
        <v>6773</v>
      </c>
      <c r="C6606" s="3" t="s">
        <v>6774</v>
      </c>
      <c r="D6606" s="4" t="str">
        <f>HYPERLINK("https://12go.asia/en/travel/bekasi/berau", "12Go Link")</f>
        <v>12Go Link</v>
      </c>
      <c r="E6606" s="3" t="s">
        <v>3568</v>
      </c>
      <c r="K6606" s="5"/>
    </row>
    <row r="6607">
      <c r="A6607" s="3" t="s">
        <v>6768</v>
      </c>
      <c r="B6607" s="3" t="s">
        <v>6775</v>
      </c>
      <c r="C6607" s="3" t="s">
        <v>6776</v>
      </c>
      <c r="D6607" s="4" t="str">
        <f>HYPERLINK("https://12go.asia/en/travel/bekasi/bitung", "12Go Link")</f>
        <v>12Go Link</v>
      </c>
      <c r="E6607" s="3" t="s">
        <v>3568</v>
      </c>
      <c r="K6607" s="5"/>
    </row>
    <row r="6608">
      <c r="A6608" s="3" t="s">
        <v>6768</v>
      </c>
      <c r="B6608" s="3" t="s">
        <v>6777</v>
      </c>
      <c r="C6608" s="3" t="s">
        <v>6778</v>
      </c>
      <c r="D6608" s="4" t="str">
        <f>HYPERLINK("https://12go.asia/en/travel/bekasi/bunaken", "12Go Link")</f>
        <v>12Go Link</v>
      </c>
      <c r="E6608" s="3" t="s">
        <v>3568</v>
      </c>
      <c r="K6608" s="5"/>
    </row>
    <row r="6609">
      <c r="A6609" s="3" t="s">
        <v>6768</v>
      </c>
      <c r="B6609" s="3" t="s">
        <v>6779</v>
      </c>
      <c r="C6609" s="3" t="s">
        <v>6780</v>
      </c>
      <c r="D6609" s="4" t="str">
        <f>HYPERLINK("https://12go.asia/en/travel/bekasi/central-sulawesi", "12Go Link")</f>
        <v>12Go Link</v>
      </c>
      <c r="E6609" s="3" t="s">
        <v>3568</v>
      </c>
      <c r="K6609" s="5"/>
    </row>
    <row r="6610">
      <c r="A6610" s="3" t="s">
        <v>6768</v>
      </c>
      <c r="B6610" s="3" t="s">
        <v>6781</v>
      </c>
      <c r="C6610" s="3" t="s">
        <v>6782</v>
      </c>
      <c r="D6610" s="4" t="str">
        <f>HYPERLINK("https://12go.asia/en/travel/bekasi/gorontalo", "12Go Link")</f>
        <v>12Go Link</v>
      </c>
      <c r="E6610" s="3" t="s">
        <v>3568</v>
      </c>
      <c r="K6610" s="5"/>
    </row>
    <row r="6611">
      <c r="A6611" s="3" t="s">
        <v>6768</v>
      </c>
      <c r="B6611" s="3" t="s">
        <v>6783</v>
      </c>
      <c r="C6611" s="3" t="s">
        <v>6784</v>
      </c>
      <c r="D6611" s="4" t="str">
        <f>HYPERLINK("https://12go.asia/en/travel/bekasi/java", "12Go Link")</f>
        <v>12Go Link</v>
      </c>
      <c r="E6611" s="3" t="s">
        <v>3568</v>
      </c>
      <c r="K6611" s="5"/>
    </row>
    <row r="6612">
      <c r="A6612" s="3" t="s">
        <v>6768</v>
      </c>
      <c r="B6612" s="3" t="s">
        <v>6785</v>
      </c>
      <c r="C6612" s="3" t="s">
        <v>6786</v>
      </c>
      <c r="D6612" s="4" t="str">
        <f>HYPERLINK("https://12go.asia/en/travel/bekasi/kendari", "12Go Link")</f>
        <v>12Go Link</v>
      </c>
      <c r="E6612" s="3" t="s">
        <v>3568</v>
      </c>
      <c r="K6612" s="5"/>
    </row>
    <row r="6613">
      <c r="A6613" s="3" t="s">
        <v>6768</v>
      </c>
      <c r="B6613" s="3" t="s">
        <v>6787</v>
      </c>
      <c r="C6613" s="3" t="s">
        <v>6788</v>
      </c>
      <c r="D6613" s="4" t="str">
        <f>HYPERLINK("https://12go.asia/en/travel/bekasi/kulon-progo", "12Go Link")</f>
        <v>12Go Link</v>
      </c>
      <c r="E6613" s="3" t="s">
        <v>3568</v>
      </c>
      <c r="K6613" s="5"/>
    </row>
    <row r="6614">
      <c r="A6614" s="3" t="s">
        <v>6768</v>
      </c>
      <c r="B6614" s="3" t="s">
        <v>6789</v>
      </c>
      <c r="C6614" s="3" t="s">
        <v>6790</v>
      </c>
      <c r="D6614" s="4" t="str">
        <f>HYPERLINK("https://12go.asia/en/travel/bekasi/kupang", "12Go Link")</f>
        <v>12Go Link</v>
      </c>
      <c r="E6614" s="3" t="s">
        <v>3568</v>
      </c>
      <c r="K6614" s="5"/>
    </row>
    <row r="6615">
      <c r="A6615" s="3" t="s">
        <v>6768</v>
      </c>
      <c r="B6615" s="3" t="s">
        <v>6791</v>
      </c>
      <c r="C6615" s="3" t="s">
        <v>6792</v>
      </c>
      <c r="D6615" s="4" t="str">
        <f>HYPERLINK("https://12go.asia/en/travel/bekasi/martapura", "12Go Link")</f>
        <v>12Go Link</v>
      </c>
      <c r="E6615" s="3" t="s">
        <v>3568</v>
      </c>
      <c r="K6615" s="5"/>
    </row>
    <row r="6616">
      <c r="A6616" s="3" t="s">
        <v>6768</v>
      </c>
      <c r="B6616" s="3" t="s">
        <v>6793</v>
      </c>
      <c r="C6616" s="3" t="s">
        <v>6794</v>
      </c>
      <c r="D6616" s="4" t="str">
        <f>HYPERLINK("https://12go.asia/en/travel/bekasi/north-sulawesi", "12Go Link")</f>
        <v>12Go Link</v>
      </c>
      <c r="E6616" s="3" t="s">
        <v>3568</v>
      </c>
      <c r="K6616" s="5"/>
    </row>
    <row r="6617">
      <c r="A6617" s="3" t="s">
        <v>6768</v>
      </c>
      <c r="B6617" s="3" t="s">
        <v>6795</v>
      </c>
      <c r="C6617" s="3" t="s">
        <v>6796</v>
      </c>
      <c r="D6617" s="4" t="str">
        <f>HYPERLINK("https://12go.asia/en/travel/bekasi/palangkaraya", "12Go Link")</f>
        <v>12Go Link</v>
      </c>
      <c r="E6617" s="3" t="s">
        <v>3568</v>
      </c>
      <c r="K6617" s="5"/>
    </row>
    <row r="6618">
      <c r="A6618" s="3" t="s">
        <v>6768</v>
      </c>
      <c r="B6618" s="3" t="s">
        <v>6797</v>
      </c>
      <c r="C6618" s="3" t="s">
        <v>6798</v>
      </c>
      <c r="D6618" s="4" t="str">
        <f>HYPERLINK("https://12go.asia/en/travel/bekasi/papua", "12Go Link")</f>
        <v>12Go Link</v>
      </c>
      <c r="E6618" s="3" t="s">
        <v>3568</v>
      </c>
      <c r="K6618" s="5"/>
    </row>
    <row r="6619">
      <c r="A6619" s="3" t="s">
        <v>6768</v>
      </c>
      <c r="B6619" s="3" t="s">
        <v>6799</v>
      </c>
      <c r="C6619" s="3" t="s">
        <v>6800</v>
      </c>
      <c r="D6619" s="4" t="str">
        <f>HYPERLINK("https://12go.asia/en/travel/bekasi/praya", "12Go Link")</f>
        <v>12Go Link</v>
      </c>
      <c r="E6619" s="3" t="s">
        <v>3568</v>
      </c>
      <c r="K6619" s="5"/>
    </row>
    <row r="6620">
      <c r="A6620" s="3" t="s">
        <v>6768</v>
      </c>
      <c r="B6620" s="3" t="s">
        <v>6801</v>
      </c>
      <c r="C6620" s="3" t="s">
        <v>6802</v>
      </c>
      <c r="D6620" s="4" t="str">
        <f>HYPERLINK("https://12go.asia/en/travel/bekasi/sorong", "12Go Link")</f>
        <v>12Go Link</v>
      </c>
      <c r="E6620" s="3" t="s">
        <v>3568</v>
      </c>
      <c r="K6620" s="5"/>
    </row>
    <row r="6621">
      <c r="A6621" s="3" t="s">
        <v>6768</v>
      </c>
      <c r="B6621" s="3" t="s">
        <v>6803</v>
      </c>
      <c r="C6621" s="3" t="s">
        <v>6804</v>
      </c>
      <c r="D6621" s="4" t="str">
        <f>HYPERLINK("https://12go.asia/en/travel/bekasi/south-east-sulawesi", "12Go Link")</f>
        <v>12Go Link</v>
      </c>
      <c r="E6621" s="3" t="s">
        <v>3568</v>
      </c>
      <c r="K6621" s="5"/>
    </row>
    <row r="6622">
      <c r="A6622" s="3" t="s">
        <v>6768</v>
      </c>
      <c r="B6622" s="3" t="s">
        <v>6805</v>
      </c>
      <c r="C6622" s="3" t="s">
        <v>6806</v>
      </c>
      <c r="D6622" s="4" t="str">
        <f>HYPERLINK("https://12go.asia/en/travel/bekasi/south-kalimantan", "12Go Link")</f>
        <v>12Go Link</v>
      </c>
      <c r="E6622" s="3" t="s">
        <v>3568</v>
      </c>
      <c r="K6622" s="5"/>
    </row>
    <row r="6623">
      <c r="A6623" s="3" t="s">
        <v>6768</v>
      </c>
      <c r="B6623" s="3" t="s">
        <v>6807</v>
      </c>
      <c r="C6623" s="3" t="s">
        <v>6808</v>
      </c>
      <c r="D6623" s="4" t="str">
        <f>HYPERLINK("https://12go.asia/en/travel/bekasi/tanjungpandan", "12Go Link")</f>
        <v>12Go Link</v>
      </c>
      <c r="E6623" s="3" t="s">
        <v>3568</v>
      </c>
      <c r="K6623" s="5"/>
    </row>
    <row r="6624">
      <c r="A6624" s="3" t="s">
        <v>6768</v>
      </c>
      <c r="B6624" s="3" t="s">
        <v>6809</v>
      </c>
      <c r="C6624" s="3" t="s">
        <v>6810</v>
      </c>
      <c r="D6624" s="4" t="str">
        <f>HYPERLINK("https://12go.asia/en/travel/bekasi/tarakan", "12Go Link")</f>
        <v>12Go Link</v>
      </c>
      <c r="E6624" s="3" t="s">
        <v>3568</v>
      </c>
      <c r="K6624" s="5"/>
    </row>
    <row r="6625">
      <c r="A6625" s="3" t="s">
        <v>6768</v>
      </c>
      <c r="B6625" s="3" t="s">
        <v>6811</v>
      </c>
      <c r="C6625" s="3" t="s">
        <v>6812</v>
      </c>
      <c r="D6625" s="4" t="str">
        <f>HYPERLINK("https://12go.asia/en/travel/bekasi/ternate", "12Go Link")</f>
        <v>12Go Link</v>
      </c>
      <c r="E6625" s="3" t="s">
        <v>3568</v>
      </c>
      <c r="K6625" s="5"/>
    </row>
    <row r="6626">
      <c r="A6626" s="3" t="s">
        <v>6768</v>
      </c>
      <c r="B6626" s="3" t="s">
        <v>6813</v>
      </c>
      <c r="C6626" s="3" t="s">
        <v>6814</v>
      </c>
      <c r="D6626" s="4" t="str">
        <f>HYPERLINK("https://12go.asia/en/travel/bekasi/tidore", "12Go Link")</f>
        <v>12Go Link</v>
      </c>
      <c r="E6626" s="3" t="s">
        <v>3568</v>
      </c>
      <c r="K6626" s="5"/>
    </row>
    <row r="6627">
      <c r="A6627" s="3" t="s">
        <v>6768</v>
      </c>
      <c r="B6627" s="3" t="s">
        <v>6815</v>
      </c>
      <c r="C6627" s="3" t="s">
        <v>6816</v>
      </c>
      <c r="D6627" s="4" t="str">
        <f>HYPERLINK("https://12go.asia/en/travel/bekasi/ujungpandang", "12Go Link")</f>
        <v>12Go Link</v>
      </c>
      <c r="E6627" s="3" t="s">
        <v>3568</v>
      </c>
      <c r="K6627" s="5"/>
    </row>
    <row r="6628">
      <c r="A6628" s="3" t="s">
        <v>6768</v>
      </c>
      <c r="B6628" s="3" t="s">
        <v>6817</v>
      </c>
      <c r="C6628" s="3" t="s">
        <v>6818</v>
      </c>
      <c r="D6628" s="4" t="str">
        <f>HYPERLINK("https://12go.asia/en/travel/bekasi/west-papua", "12Go Link")</f>
        <v>12Go Link</v>
      </c>
      <c r="E6628" s="3" t="s">
        <v>3568</v>
      </c>
      <c r="K6628" s="5"/>
    </row>
    <row r="6629">
      <c r="A6629" s="3" t="s">
        <v>6768</v>
      </c>
      <c r="B6629" s="3" t="s">
        <v>6819</v>
      </c>
      <c r="C6629" s="3" t="s">
        <v>6820</v>
      </c>
      <c r="D6629" s="4" t="str">
        <f>HYPERLINK("https://12go.asia/en/travel/bekasi/yogyakarta-airport", "12Go Link")</f>
        <v>12Go Link</v>
      </c>
      <c r="E6629" s="3" t="s">
        <v>3568</v>
      </c>
      <c r="K6629" s="5"/>
    </row>
    <row r="6630">
      <c r="A6630" s="3" t="s">
        <v>6768</v>
      </c>
      <c r="B6630" s="3" t="s">
        <v>6821</v>
      </c>
      <c r="C6630" s="3" t="s">
        <v>6822</v>
      </c>
      <c r="D6630" s="4" t="str">
        <f>HYPERLINK("https://12go.asia/en/travel/bekasi/george-town", "12Go Link")</f>
        <v>12Go Link</v>
      </c>
      <c r="E6630" s="3" t="s">
        <v>3568</v>
      </c>
      <c r="K6630" s="5"/>
    </row>
    <row r="6631">
      <c r="A6631" s="3" t="s">
        <v>6768</v>
      </c>
      <c r="B6631" s="3" t="s">
        <v>6823</v>
      </c>
      <c r="C6631" s="3" t="s">
        <v>6824</v>
      </c>
      <c r="D6631" s="4" t="str">
        <f>HYPERLINK("https://12go.asia/en/travel/bekasi/penang", "12Go Link")</f>
        <v>12Go Link</v>
      </c>
      <c r="E6631" s="3" t="s">
        <v>3568</v>
      </c>
      <c r="K6631" s="5"/>
    </row>
    <row r="6632">
      <c r="A6632" s="3" t="s">
        <v>6768</v>
      </c>
      <c r="B6632" s="3" t="s">
        <v>6825</v>
      </c>
      <c r="C6632" s="3" t="s">
        <v>6826</v>
      </c>
      <c r="D6632" s="4" t="str">
        <f>HYPERLINK("https://12go.asia/en/travel/bekasi/penang-airport", "12Go Link")</f>
        <v>12Go Link</v>
      </c>
      <c r="E6632" s="3" t="s">
        <v>3568</v>
      </c>
      <c r="K6632" s="5"/>
    </row>
    <row r="6633">
      <c r="A6633" s="3" t="s">
        <v>6768</v>
      </c>
      <c r="B6633" s="3" t="s">
        <v>5926</v>
      </c>
      <c r="C6633" s="3" t="s">
        <v>6827</v>
      </c>
      <c r="D6633" s="4" t="str">
        <f>HYPERLINK("https://12go.asia/en/travel/bekasi/bangkok-airport", "12Go Link")</f>
        <v>12Go Link</v>
      </c>
      <c r="E6633" s="3" t="s">
        <v>3568</v>
      </c>
      <c r="K6633" s="5"/>
    </row>
    <row r="6634">
      <c r="A6634" s="3" t="s">
        <v>6768</v>
      </c>
      <c r="B6634" s="3" t="s">
        <v>5928</v>
      </c>
      <c r="C6634" s="3" t="s">
        <v>6828</v>
      </c>
      <c r="D6634" s="4" t="str">
        <f>HYPERLINK("https://12go.asia/en/travel/bekasi/don-mueang-airport", "12Go Link")</f>
        <v>12Go Link</v>
      </c>
      <c r="E6634" s="3" t="s">
        <v>3568</v>
      </c>
      <c r="K6634" s="5"/>
    </row>
    <row r="6635">
      <c r="A6635" s="3" t="s">
        <v>6768</v>
      </c>
      <c r="B6635" s="3" t="s">
        <v>5930</v>
      </c>
      <c r="C6635" s="3" t="s">
        <v>6829</v>
      </c>
      <c r="D6635" s="4" t="str">
        <f>HYPERLINK("https://12go.asia/en/travel/bekasi/rangsit", "12Go Link")</f>
        <v>12Go Link</v>
      </c>
      <c r="E6635" s="3" t="s">
        <v>3568</v>
      </c>
      <c r="K6635" s="5"/>
    </row>
    <row r="6636">
      <c r="A6636" s="3" t="s">
        <v>6830</v>
      </c>
      <c r="B6636" s="3" t="s">
        <v>6831</v>
      </c>
      <c r="C6636" s="3" t="s">
        <v>6832</v>
      </c>
      <c r="D6636" s="4" t="str">
        <f>HYPERLINK("https://12go.asia/en/travel/bima/i-gusti-ngurah-rai-international-airport", "12Go Link")</f>
        <v>12Go Link</v>
      </c>
      <c r="E6636" s="3" t="s">
        <v>3568</v>
      </c>
      <c r="K6636" s="5"/>
    </row>
    <row r="6637">
      <c r="A6637" s="3" t="s">
        <v>6833</v>
      </c>
      <c r="B6637" s="3" t="s">
        <v>6744</v>
      </c>
      <c r="C6637" s="3" t="s">
        <v>6834</v>
      </c>
      <c r="D6637" s="4" t="str">
        <f>HYPERLINK("https://12go.asia/en/travel/bungurasih/denpasar", "12Go Link")</f>
        <v>12Go Link</v>
      </c>
      <c r="E6637" s="3" t="s">
        <v>3568</v>
      </c>
      <c r="K6637" s="5"/>
    </row>
    <row r="6638">
      <c r="A6638" s="3" t="s">
        <v>6833</v>
      </c>
      <c r="B6638" s="3" t="s">
        <v>6675</v>
      </c>
      <c r="C6638" s="3" t="s">
        <v>6835</v>
      </c>
      <c r="D6638" s="4" t="str">
        <f t="shared" ref="D6638:D6639" si="376">HYPERLINK("https://12go.asia/en/travel/bungurasih/lombok", "12Go Link")</f>
        <v>12Go Link</v>
      </c>
      <c r="E6638" s="3" t="s">
        <v>3568</v>
      </c>
      <c r="K6638" s="5"/>
    </row>
    <row r="6639">
      <c r="A6639" s="3" t="s">
        <v>6833</v>
      </c>
      <c r="B6639" s="3" t="s">
        <v>6675</v>
      </c>
      <c r="C6639" s="3" t="s">
        <v>6835</v>
      </c>
      <c r="D6639" s="4" t="str">
        <f t="shared" si="376"/>
        <v>12Go Link</v>
      </c>
      <c r="E6639" s="3" t="s">
        <v>3568</v>
      </c>
      <c r="K6639" s="5"/>
    </row>
    <row r="6640">
      <c r="A6640" s="3" t="s">
        <v>6644</v>
      </c>
      <c r="B6640" s="3" t="s">
        <v>6597</v>
      </c>
      <c r="C6640" s="3" t="s">
        <v>6836</v>
      </c>
      <c r="D6640" s="4" t="str">
        <f>HYPERLINK("https://12go.asia/en/travel/Popular-Market-Deli-Canggu/Padang-Bai-Central-Parking", "12Go Link")</f>
        <v>12Go Link</v>
      </c>
      <c r="E6640" s="3" t="s">
        <v>6602</v>
      </c>
      <c r="K6640" s="5"/>
    </row>
    <row r="6641">
      <c r="A6641" s="3" t="s">
        <v>6644</v>
      </c>
      <c r="B6641" s="3" t="s">
        <v>6646</v>
      </c>
      <c r="C6641" s="3" t="s">
        <v>6837</v>
      </c>
      <c r="D6641" s="4" t="str">
        <f>HYPERLINK("https://12go.asia/en/travel/Happy-Chappy-Restaurant/Gili-Air", "12Go Link")</f>
        <v>12Go Link</v>
      </c>
      <c r="E6641" s="3" t="s">
        <v>6648</v>
      </c>
      <c r="K6641" s="5"/>
    </row>
    <row r="6642">
      <c r="A6642" s="3" t="s">
        <v>6644</v>
      </c>
      <c r="B6642" s="3" t="s">
        <v>6660</v>
      </c>
      <c r="C6642" s="3" t="s">
        <v>6838</v>
      </c>
      <c r="D6642" s="4" t="str">
        <f>HYPERLINK("https://12go.asia/en/travel/Happy-Chappy-Restaurant/Gili-Trawangan-Gili-Getaway", "12Go Link")</f>
        <v>12Go Link</v>
      </c>
      <c r="E6642" s="3" t="s">
        <v>6648</v>
      </c>
      <c r="K6642" s="5"/>
    </row>
    <row r="6643">
      <c r="A6643" s="3" t="s">
        <v>6644</v>
      </c>
      <c r="B6643" s="3" t="s">
        <v>6675</v>
      </c>
      <c r="C6643" s="3" t="s">
        <v>6839</v>
      </c>
      <c r="D6643" s="4" t="str">
        <f>HYPERLINK("https://12go.asia/en/travel/Happy-Chappy-Restaurant/Bangsal-Pier", "12Go Link")</f>
        <v>12Go Link</v>
      </c>
      <c r="E6643" s="3" t="s">
        <v>6648</v>
      </c>
      <c r="K6643" s="5"/>
    </row>
    <row r="6644">
      <c r="A6644" s="3" t="s">
        <v>6644</v>
      </c>
      <c r="B6644" s="3" t="s">
        <v>6675</v>
      </c>
      <c r="C6644" s="3" t="s">
        <v>6840</v>
      </c>
      <c r="D6644" s="4" t="str">
        <f>HYPERLINK("https://12go.asia/en/travel/Happy-Chappy-Restaurant/Gili-Gede", "12Go Link")</f>
        <v>12Go Link</v>
      </c>
      <c r="E6644" s="3" t="s">
        <v>6648</v>
      </c>
      <c r="K6644" s="5"/>
    </row>
    <row r="6645">
      <c r="A6645" s="3" t="s">
        <v>6644</v>
      </c>
      <c r="B6645" s="3" t="s">
        <v>6696</v>
      </c>
      <c r="C6645" s="3" t="s">
        <v>6841</v>
      </c>
      <c r="D6645" s="4" t="str">
        <f>HYPERLINK("https://12go.asia/en/travel/Happy-Chappy-Restaurant/Buyuk-Harbor", "12Go Link")</f>
        <v>12Go Link</v>
      </c>
      <c r="E6645" s="3" t="s">
        <v>6648</v>
      </c>
      <c r="K6645" s="5"/>
    </row>
    <row r="6646">
      <c r="A6646" s="3" t="s">
        <v>6779</v>
      </c>
      <c r="B6646" s="3" t="s">
        <v>6842</v>
      </c>
      <c r="C6646" s="3" t="s">
        <v>6843</v>
      </c>
      <c r="D6646" s="4" t="str">
        <f>HYPERLINK("https://12go.asia/en/travel/central-sulawesi/jakarta-airport", "12Go Link")</f>
        <v>12Go Link</v>
      </c>
      <c r="E6646" s="3" t="s">
        <v>3568</v>
      </c>
      <c r="K6646" s="5"/>
    </row>
    <row r="6647">
      <c r="A6647" s="3" t="s">
        <v>6844</v>
      </c>
      <c r="B6647" s="3" t="s">
        <v>6842</v>
      </c>
      <c r="C6647" s="3" t="s">
        <v>6845</v>
      </c>
      <c r="D6647" s="4" t="str">
        <f>HYPERLINK("https://12go.asia/en/travel/delanggu/jakarta-airport", "12Go Link")</f>
        <v>12Go Link</v>
      </c>
      <c r="E6647" s="3" t="s">
        <v>3568</v>
      </c>
      <c r="K6647" s="5"/>
    </row>
    <row r="6648">
      <c r="A6648" s="3" t="s">
        <v>6744</v>
      </c>
      <c r="B6648" s="3" t="s">
        <v>103</v>
      </c>
      <c r="C6648" s="3" t="s">
        <v>6846</v>
      </c>
      <c r="D6648" s="4" t="str">
        <f>HYPERLINK("https://12go.asia/en/travel/denpasar/canterbury-nsw", "12Go Link")</f>
        <v>12Go Link</v>
      </c>
      <c r="E6648" s="3" t="s">
        <v>3568</v>
      </c>
      <c r="K6648" s="5"/>
    </row>
    <row r="6649">
      <c r="A6649" s="3" t="s">
        <v>6744</v>
      </c>
      <c r="B6649" s="3" t="s">
        <v>123</v>
      </c>
      <c r="C6649" s="3" t="s">
        <v>6847</v>
      </c>
      <c r="D6649" s="4" t="str">
        <f>HYPERLINK("https://12go.asia/en/travel/denpasar/ipswich-city", "12Go Link")</f>
        <v>12Go Link</v>
      </c>
      <c r="E6649" s="3" t="s">
        <v>3568</v>
      </c>
      <c r="K6649" s="5"/>
    </row>
    <row r="6650">
      <c r="A6650" s="3" t="s">
        <v>6744</v>
      </c>
      <c r="B6650" s="3" t="s">
        <v>6848</v>
      </c>
      <c r="C6650" s="3" t="s">
        <v>6849</v>
      </c>
      <c r="D6650" s="4" t="str">
        <f>HYPERLINK("https://12go.asia/en/travel/denpasar/moreton-bay", "12Go Link")</f>
        <v>12Go Link</v>
      </c>
      <c r="E6650" s="3" t="s">
        <v>3568</v>
      </c>
      <c r="K6650" s="5"/>
    </row>
    <row r="6651">
      <c r="A6651" s="3" t="s">
        <v>6744</v>
      </c>
      <c r="B6651" s="3" t="s">
        <v>6850</v>
      </c>
      <c r="C6651" s="3" t="s">
        <v>6851</v>
      </c>
      <c r="D6651" s="4" t="str">
        <f>HYPERLINK("https://12go.asia/en/travel/denpasar/north-stradbroke-island", "12Go Link")</f>
        <v>12Go Link</v>
      </c>
      <c r="E6651" s="3" t="s">
        <v>3568</v>
      </c>
      <c r="K6651" s="5"/>
    </row>
    <row r="6652">
      <c r="A6652" s="3" t="s">
        <v>6744</v>
      </c>
      <c r="B6652" s="3" t="s">
        <v>6852</v>
      </c>
      <c r="C6652" s="3" t="s">
        <v>6853</v>
      </c>
      <c r="D6652" s="4" t="str">
        <f>HYPERLINK("https://12go.asia/en/travel/denpasar/royal-national-park", "12Go Link")</f>
        <v>12Go Link</v>
      </c>
      <c r="E6652" s="3" t="s">
        <v>3568</v>
      </c>
      <c r="K6652" s="5"/>
    </row>
    <row r="6653">
      <c r="A6653" s="3" t="s">
        <v>6744</v>
      </c>
      <c r="B6653" s="3" t="s">
        <v>6854</v>
      </c>
      <c r="C6653" s="3" t="s">
        <v>6855</v>
      </c>
      <c r="D6653" s="4" t="str">
        <f>HYPERLINK("https://12go.asia/en/travel/denpasar/victoria", "12Go Link")</f>
        <v>12Go Link</v>
      </c>
      <c r="E6653" s="3" t="s">
        <v>3568</v>
      </c>
      <c r="K6653" s="5"/>
    </row>
    <row r="6654">
      <c r="A6654" s="3" t="s">
        <v>6744</v>
      </c>
      <c r="B6654" s="3" t="s">
        <v>6833</v>
      </c>
      <c r="C6654" s="3" t="s">
        <v>6856</v>
      </c>
      <c r="D6654" s="4" t="str">
        <f>HYPERLINK("https://12go.asia/en/travel/denpasar/bungurasih", "12Go Link")</f>
        <v>12Go Link</v>
      </c>
      <c r="E6654" s="3" t="s">
        <v>3568</v>
      </c>
      <c r="K6654" s="5"/>
    </row>
    <row r="6655">
      <c r="A6655" s="3" t="s">
        <v>6744</v>
      </c>
      <c r="B6655" s="3" t="s">
        <v>6749</v>
      </c>
      <c r="C6655" s="3" t="s">
        <v>6857</v>
      </c>
      <c r="D6655" s="4" t="str">
        <f>HYPERLINK("https://12go.asia/en/travel/Kantor-Wisata-Komodo/Terminal-Bus-Kebumen", "12Go Link")</f>
        <v>12Go Link</v>
      </c>
      <c r="E6655" s="3" t="s">
        <v>6746</v>
      </c>
      <c r="K6655" s="5"/>
    </row>
    <row r="6656">
      <c r="A6656" s="3" t="s">
        <v>6744</v>
      </c>
      <c r="B6656" s="3" t="s">
        <v>6791</v>
      </c>
      <c r="C6656" s="3" t="s">
        <v>6858</v>
      </c>
      <c r="D6656" s="4" t="str">
        <f>HYPERLINK("https://12go.asia/en/travel/denpasar/martapura", "12Go Link")</f>
        <v>12Go Link</v>
      </c>
      <c r="E6656" s="3" t="s">
        <v>3568</v>
      </c>
      <c r="K6656" s="5"/>
    </row>
    <row r="6657">
      <c r="A6657" s="3" t="s">
        <v>6744</v>
      </c>
      <c r="B6657" s="3" t="s">
        <v>6757</v>
      </c>
      <c r="C6657" s="3" t="s">
        <v>6859</v>
      </c>
      <c r="D6657" s="4" t="str">
        <f>HYPERLINK("https://12go.asia/en/travel/Kantor-Wisata-Komodo/Terminal-Purwokerto", "12Go Link")</f>
        <v>12Go Link</v>
      </c>
      <c r="E6657" s="3" t="s">
        <v>6746</v>
      </c>
      <c r="K6657" s="5"/>
    </row>
    <row r="6658">
      <c r="A6658" s="3" t="s">
        <v>6744</v>
      </c>
      <c r="B6658" s="3" t="s">
        <v>6860</v>
      </c>
      <c r="C6658" s="3" t="s">
        <v>6861</v>
      </c>
      <c r="D6658" s="4" t="str">
        <f>HYPERLINK("https://12go.asia/en/travel/denpasar/raba", "12Go Link")</f>
        <v>12Go Link</v>
      </c>
      <c r="E6658" s="3" t="s">
        <v>3568</v>
      </c>
      <c r="K6658" s="5"/>
    </row>
    <row r="6659">
      <c r="A6659" s="3" t="s">
        <v>6744</v>
      </c>
      <c r="B6659" s="3" t="s">
        <v>6862</v>
      </c>
      <c r="C6659" s="3" t="s">
        <v>6863</v>
      </c>
      <c r="D6659" s="4" t="str">
        <f>HYPERLINK("https://12go.asia/en/travel/denpasar/ruteng", "12Go Link")</f>
        <v>12Go Link</v>
      </c>
      <c r="E6659" s="3" t="s">
        <v>3568</v>
      </c>
      <c r="K6659" s="5"/>
    </row>
    <row r="6660">
      <c r="A6660" s="3" t="s">
        <v>6744</v>
      </c>
      <c r="B6660" s="3" t="s">
        <v>6759</v>
      </c>
      <c r="C6660" s="3" t="s">
        <v>6864</v>
      </c>
      <c r="D6660" s="4" t="str">
        <f>HYPERLINK("https://12go.asia/en/travel/Kantor-Wisata-Komodo/Terminal-Purabaya-Bungurasih", "12Go Link")</f>
        <v>12Go Link</v>
      </c>
      <c r="E6660" s="3" t="s">
        <v>6746</v>
      </c>
      <c r="K6660" s="5"/>
    </row>
    <row r="6661">
      <c r="A6661" s="3" t="s">
        <v>6744</v>
      </c>
      <c r="B6661" s="3" t="s">
        <v>6761</v>
      </c>
      <c r="C6661" s="3" t="s">
        <v>6865</v>
      </c>
      <c r="D6661" s="4" t="str">
        <f>HYPERLINK("https://12go.asia/en/travel/Kantor-Wisata-Komodo/Terminal-Tirtonadi", "12Go Link")</f>
        <v>12Go Link</v>
      </c>
      <c r="E6661" s="3" t="s">
        <v>6746</v>
      </c>
      <c r="K6661" s="5"/>
    </row>
    <row r="6662">
      <c r="A6662" s="3" t="s">
        <v>6744</v>
      </c>
      <c r="B6662" s="3" t="s">
        <v>6765</v>
      </c>
      <c r="C6662" s="3" t="s">
        <v>6866</v>
      </c>
      <c r="D6662" s="4" t="str">
        <f>HYPERLINK("https://12go.asia/en/travel/Kantor-Wisata-Komodo/Terminal-Giwangan-Yogyakarta", "12Go Link")</f>
        <v>12Go Link</v>
      </c>
      <c r="E6662" s="3" t="s">
        <v>6746</v>
      </c>
      <c r="K6662" s="5"/>
    </row>
    <row r="6663">
      <c r="A6663" s="3" t="s">
        <v>6744</v>
      </c>
      <c r="B6663" s="3" t="s">
        <v>6765</v>
      </c>
      <c r="C6663" s="3" t="s">
        <v>6867</v>
      </c>
      <c r="D6663" s="4" t="str">
        <f>HYPERLINK("https://12go.asia/en/travel/Kantor-Wisata-Komodo/Wisata-Komodo-Janti", "12Go Link")</f>
        <v>12Go Link</v>
      </c>
      <c r="E6663" s="3" t="s">
        <v>6746</v>
      </c>
      <c r="K6663" s="5"/>
    </row>
    <row r="6664">
      <c r="A6664" s="3" t="s">
        <v>6744</v>
      </c>
      <c r="B6664" s="3" t="s">
        <v>3566</v>
      </c>
      <c r="C6664" s="3" t="s">
        <v>6868</v>
      </c>
      <c r="D6664" s="4" t="str">
        <f>HYPERLINK("https://12go.asia/en/travel/denpasar/bandar-sunway", "12Go Link")</f>
        <v>12Go Link</v>
      </c>
      <c r="E6664" s="3" t="s">
        <v>3568</v>
      </c>
      <c r="K6664" s="5"/>
    </row>
    <row r="6665">
      <c r="A6665" s="3" t="s">
        <v>6744</v>
      </c>
      <c r="B6665" s="3" t="s">
        <v>3569</v>
      </c>
      <c r="C6665" s="3" t="s">
        <v>6869</v>
      </c>
      <c r="D6665" s="4" t="str">
        <f>HYPERLINK("https://12go.asia/en/travel/denpasar/klang", "12Go Link")</f>
        <v>12Go Link</v>
      </c>
      <c r="E6665" s="3" t="s">
        <v>3568</v>
      </c>
      <c r="K6665" s="5"/>
    </row>
    <row r="6666">
      <c r="A6666" s="3" t="s">
        <v>6744</v>
      </c>
      <c r="B6666" s="3" t="s">
        <v>6870</v>
      </c>
      <c r="C6666" s="3" t="s">
        <v>6871</v>
      </c>
      <c r="D6666" s="4" t="str">
        <f>HYPERLINK("https://12go.asia/en/travel/denpasar/klia-ii", "12Go Link")</f>
        <v>12Go Link</v>
      </c>
      <c r="E6666" s="3" t="s">
        <v>3568</v>
      </c>
      <c r="K6666" s="5"/>
    </row>
    <row r="6667">
      <c r="A6667" s="3" t="s">
        <v>6744</v>
      </c>
      <c r="B6667" s="3" t="s">
        <v>3571</v>
      </c>
      <c r="C6667" s="3" t="s">
        <v>6872</v>
      </c>
      <c r="D6667" s="4" t="str">
        <f>HYPERLINK("https://12go.asia/en/travel/denpasar/kuala-lumpur-sentral", "12Go Link")</f>
        <v>12Go Link</v>
      </c>
      <c r="E6667" s="3" t="s">
        <v>3568</v>
      </c>
      <c r="K6667" s="5"/>
    </row>
    <row r="6668">
      <c r="A6668" s="3" t="s">
        <v>6744</v>
      </c>
      <c r="B6668" s="3" t="s">
        <v>3573</v>
      </c>
      <c r="C6668" s="3" t="s">
        <v>6873</v>
      </c>
      <c r="D6668" s="4" t="str">
        <f>HYPERLINK("https://12go.asia/en/travel/denpasar/putrajaya", "12Go Link")</f>
        <v>12Go Link</v>
      </c>
      <c r="E6668" s="3" t="s">
        <v>3568</v>
      </c>
      <c r="K6668" s="5"/>
    </row>
    <row r="6669">
      <c r="A6669" s="3" t="s">
        <v>6744</v>
      </c>
      <c r="B6669" s="3" t="s">
        <v>3575</v>
      </c>
      <c r="C6669" s="3" t="s">
        <v>6874</v>
      </c>
      <c r="D6669" s="4" t="str">
        <f>HYPERLINK("https://12go.asia/en/travel/denpasar/seremban", "12Go Link")</f>
        <v>12Go Link</v>
      </c>
      <c r="E6669" s="3" t="s">
        <v>3568</v>
      </c>
      <c r="K6669" s="5"/>
    </row>
    <row r="6670">
      <c r="A6670" s="3" t="s">
        <v>6744</v>
      </c>
      <c r="B6670" s="3" t="s">
        <v>5930</v>
      </c>
      <c r="C6670" s="3" t="s">
        <v>6875</v>
      </c>
      <c r="D6670" s="4" t="str">
        <f>HYPERLINK("https://12go.asia/en/travel/denpasar/rangsit", "12Go Link")</f>
        <v>12Go Link</v>
      </c>
      <c r="E6670" s="3" t="s">
        <v>3568</v>
      </c>
      <c r="K6670" s="5"/>
    </row>
    <row r="6671">
      <c r="A6671" s="3" t="s">
        <v>6876</v>
      </c>
      <c r="B6671" s="3" t="s">
        <v>6646</v>
      </c>
      <c r="C6671" s="3" t="s">
        <v>6877</v>
      </c>
      <c r="D6671" s="4" t="str">
        <f>HYPERLINK("https://12go.asia/en/travel/Gili-Air-Karya-Bahari/Gili-Meno", "12Go Link")</f>
        <v>12Go Link</v>
      </c>
      <c r="E6671" s="3" t="s">
        <v>6878</v>
      </c>
      <c r="K6671" s="5"/>
    </row>
    <row r="6672">
      <c r="A6672" s="3" t="s">
        <v>6876</v>
      </c>
      <c r="B6672" s="3" t="s">
        <v>6646</v>
      </c>
      <c r="C6672" s="3" t="s">
        <v>6879</v>
      </c>
      <c r="D6672" s="4" t="str">
        <f>HYPERLINK("https://12go.asia/en/travel/Gili-Air-Karya-Bahari/Gili-Trawangan-Port", "12Go Link")</f>
        <v>12Go Link</v>
      </c>
      <c r="E6672" s="3" t="s">
        <v>6878</v>
      </c>
      <c r="K6672" s="5"/>
    </row>
    <row r="6673">
      <c r="A6673" s="3" t="s">
        <v>6876</v>
      </c>
      <c r="B6673" s="3" t="s">
        <v>6675</v>
      </c>
      <c r="C6673" s="3" t="s">
        <v>6880</v>
      </c>
      <c r="D6673" s="4" t="str">
        <f>HYPERLINK("https://12go.asia/en/travel/Gili-Air-Karya-Bahari/Bangsal-Pier", "12Go Link")</f>
        <v>12Go Link</v>
      </c>
      <c r="E6673" s="3" t="s">
        <v>6878</v>
      </c>
      <c r="K6673" s="5"/>
    </row>
    <row r="6674">
      <c r="A6674" s="3" t="s">
        <v>6646</v>
      </c>
      <c r="B6674" s="3" t="s">
        <v>6597</v>
      </c>
      <c r="C6674" s="3" t="s">
        <v>6881</v>
      </c>
      <c r="D6674" s="4" t="str">
        <f>HYPERLINK("https://12go.asia/en/travel/Gili-Air/Denpasar-Airport", "12Go Link")</f>
        <v>12Go Link</v>
      </c>
      <c r="E6674" s="3" t="s">
        <v>6648</v>
      </c>
      <c r="K6674" s="5"/>
    </row>
    <row r="6675">
      <c r="A6675" s="3" t="s">
        <v>6646</v>
      </c>
      <c r="B6675" s="3" t="s">
        <v>6597</v>
      </c>
      <c r="C6675" s="3" t="s">
        <v>6882</v>
      </c>
      <c r="D6675" s="4" t="str">
        <f>HYPERLINK("https://12go.asia/en/travel/Gili-Air/Denpasar-Transfer", "12Go Link")</f>
        <v>12Go Link</v>
      </c>
      <c r="E6675" s="3" t="s">
        <v>6648</v>
      </c>
      <c r="K6675" s="5"/>
    </row>
    <row r="6676">
      <c r="A6676" s="3" t="s">
        <v>6646</v>
      </c>
      <c r="B6676" s="3" t="s">
        <v>6597</v>
      </c>
      <c r="C6676" s="3" t="s">
        <v>6883</v>
      </c>
      <c r="D6676" s="4" t="str">
        <f>HYPERLINK("https://12go.asia/en/travel/Gili-Air/Jimbaran-Transfer", "12Go Link")</f>
        <v>12Go Link</v>
      </c>
      <c r="E6676" s="3" t="s">
        <v>6648</v>
      </c>
      <c r="K6676" s="5"/>
    </row>
    <row r="6677">
      <c r="A6677" s="3" t="s">
        <v>6646</v>
      </c>
      <c r="B6677" s="3" t="s">
        <v>6597</v>
      </c>
      <c r="C6677" s="3" t="s">
        <v>6884</v>
      </c>
      <c r="D6677" s="4" t="str">
        <f>HYPERLINK("https://12go.asia/en/travel/Gili-Air/Kerobokan-Transfer", "12Go Link")</f>
        <v>12Go Link</v>
      </c>
      <c r="E6677" s="3" t="s">
        <v>6648</v>
      </c>
      <c r="K6677" s="5"/>
    </row>
    <row r="6678">
      <c r="A6678" s="3" t="s">
        <v>6646</v>
      </c>
      <c r="B6678" s="3" t="s">
        <v>6597</v>
      </c>
      <c r="C6678" s="3" t="s">
        <v>6885</v>
      </c>
      <c r="D6678" s="4" t="str">
        <f>HYPERLINK("https://12go.asia/en/travel/Gili-Air/Kuta-Transfer", "12Go Link")</f>
        <v>12Go Link</v>
      </c>
      <c r="E6678" s="3" t="s">
        <v>6648</v>
      </c>
      <c r="K6678" s="5"/>
    </row>
    <row r="6679">
      <c r="A6679" s="3" t="s">
        <v>6646</v>
      </c>
      <c r="B6679" s="3" t="s">
        <v>6597</v>
      </c>
      <c r="C6679" s="3" t="s">
        <v>6886</v>
      </c>
      <c r="D6679" s="4" t="str">
        <f>HYPERLINK("https://12go.asia/en/travel/Gili-Air/Legian-Transfer", "12Go Link")</f>
        <v>12Go Link</v>
      </c>
      <c r="E6679" s="3" t="s">
        <v>6648</v>
      </c>
      <c r="K6679" s="5"/>
    </row>
    <row r="6680">
      <c r="A6680" s="3" t="s">
        <v>6646</v>
      </c>
      <c r="B6680" s="3" t="s">
        <v>6597</v>
      </c>
      <c r="C6680" s="3" t="s">
        <v>6887</v>
      </c>
      <c r="D6680" s="4" t="str">
        <f>HYPERLINK("https://12go.asia/en/travel/Gili-Air/Nusa-Dua-Transfer", "12Go Link")</f>
        <v>12Go Link</v>
      </c>
      <c r="E6680" s="3" t="s">
        <v>6648</v>
      </c>
      <c r="K6680" s="5"/>
    </row>
    <row r="6681">
      <c r="A6681" s="3" t="s">
        <v>6646</v>
      </c>
      <c r="B6681" s="3" t="s">
        <v>6597</v>
      </c>
      <c r="C6681" s="3" t="s">
        <v>6888</v>
      </c>
      <c r="D6681" s="4" t="str">
        <f>HYPERLINK("https://12go.asia/en/travel/Gili-Air/Seminyak-Transfer", "12Go Link")</f>
        <v>12Go Link</v>
      </c>
      <c r="E6681" s="3" t="s">
        <v>6648</v>
      </c>
      <c r="K6681" s="5"/>
    </row>
    <row r="6682">
      <c r="A6682" s="3" t="s">
        <v>6646</v>
      </c>
      <c r="B6682" s="3" t="s">
        <v>6597</v>
      </c>
      <c r="C6682" s="3" t="s">
        <v>6889</v>
      </c>
      <c r="D6682" s="4" t="str">
        <f>HYPERLINK("https://12go.asia/en/travel/Gili-Air/Serangan-Pier-Gili-Getaway", "12Go Link")</f>
        <v>12Go Link</v>
      </c>
      <c r="E6682" s="3" t="s">
        <v>6648</v>
      </c>
      <c r="K6682" s="5"/>
    </row>
    <row r="6683">
      <c r="A6683" s="3" t="s">
        <v>6646</v>
      </c>
      <c r="B6683" s="3" t="s">
        <v>6597</v>
      </c>
      <c r="C6683" s="3" t="s">
        <v>6890</v>
      </c>
      <c r="D6683" s="4" t="str">
        <f>HYPERLINK("https://12go.asia/en/travel/Gili-Air/Tanjung-Benoa-Transfer", "12Go Link")</f>
        <v>12Go Link</v>
      </c>
      <c r="E6683" s="3" t="s">
        <v>6648</v>
      </c>
      <c r="K6683" s="5"/>
    </row>
    <row r="6684">
      <c r="A6684" s="3" t="s">
        <v>6646</v>
      </c>
      <c r="B6684" s="3" t="s">
        <v>6597</v>
      </c>
      <c r="C6684" s="3" t="s">
        <v>6891</v>
      </c>
      <c r="D6684" s="4" t="str">
        <f>HYPERLINK("https://12go.asia/en/travel/Gili-Air/Umalas-Transfer", "12Go Link")</f>
        <v>12Go Link</v>
      </c>
      <c r="E6684" s="3" t="s">
        <v>6648</v>
      </c>
      <c r="K6684" s="5"/>
    </row>
    <row r="6685">
      <c r="A6685" s="3" t="s">
        <v>6646</v>
      </c>
      <c r="B6685" s="3" t="s">
        <v>6644</v>
      </c>
      <c r="C6685" s="3" t="s">
        <v>6892</v>
      </c>
      <c r="D6685" s="4" t="str">
        <f>HYPERLINK("https://12go.asia/en/travel/Gili-Air/Happy-Chappy-Restaurant", "12Go Link")</f>
        <v>12Go Link</v>
      </c>
      <c r="E6685" s="3" t="s">
        <v>6648</v>
      </c>
      <c r="K6685" s="5"/>
    </row>
    <row r="6686">
      <c r="A6686" s="3" t="s">
        <v>6646</v>
      </c>
      <c r="B6686" s="3" t="s">
        <v>6876</v>
      </c>
      <c r="C6686" s="3" t="s">
        <v>6893</v>
      </c>
      <c r="D6686" s="4" t="str">
        <f>HYPERLINK("https://12go.asia/en/travel/Gili-Meno/Gili-Air-Karya-Bahari", "12Go Link")</f>
        <v>12Go Link</v>
      </c>
      <c r="E6686" s="3" t="s">
        <v>6878</v>
      </c>
      <c r="K6686" s="5"/>
    </row>
    <row r="6687">
      <c r="A6687" s="3" t="s">
        <v>6646</v>
      </c>
      <c r="B6687" s="3" t="s">
        <v>6876</v>
      </c>
      <c r="C6687" s="3" t="s">
        <v>6894</v>
      </c>
      <c r="D6687" s="4" t="str">
        <f>HYPERLINK("https://12go.asia/en/travel/Gili-Trawangan-Port/Gili-Air-Karya-Bahari", "12Go Link")</f>
        <v>12Go Link</v>
      </c>
      <c r="E6687" s="3" t="s">
        <v>6878</v>
      </c>
      <c r="K6687" s="5"/>
    </row>
    <row r="6688">
      <c r="A6688" s="3" t="s">
        <v>6646</v>
      </c>
      <c r="B6688" s="3" t="s">
        <v>6646</v>
      </c>
      <c r="C6688" s="3" t="s">
        <v>6895</v>
      </c>
      <c r="D6688" s="4" t="str">
        <f>HYPERLINK("https://12go.asia/en/travel/Gili-Meno/Gili-Trawangan-Port", "12Go Link")</f>
        <v>12Go Link</v>
      </c>
      <c r="E6688" s="3" t="s">
        <v>6878</v>
      </c>
      <c r="K6688" s="5"/>
    </row>
    <row r="6689">
      <c r="A6689" s="3" t="s">
        <v>6646</v>
      </c>
      <c r="B6689" s="3" t="s">
        <v>6646</v>
      </c>
      <c r="C6689" s="3" t="s">
        <v>6896</v>
      </c>
      <c r="D6689" s="4" t="str">
        <f>HYPERLINK("https://12go.asia/en/travel/Gili-Trawangan-Port/Gili-Meno", "12Go Link")</f>
        <v>12Go Link</v>
      </c>
      <c r="E6689" s="3" t="s">
        <v>6878</v>
      </c>
      <c r="K6689" s="5"/>
    </row>
    <row r="6690">
      <c r="A6690" s="3" t="s">
        <v>6646</v>
      </c>
      <c r="B6690" s="3" t="s">
        <v>6675</v>
      </c>
      <c r="C6690" s="3" t="s">
        <v>6897</v>
      </c>
      <c r="D6690" s="4" t="str">
        <f>HYPERLINK("https://12go.asia/en/travel/Gili-Meno/Bangsal-Pier", "12Go Link")</f>
        <v>12Go Link</v>
      </c>
      <c r="E6690" s="3" t="s">
        <v>6878</v>
      </c>
      <c r="K6690" s="5"/>
    </row>
    <row r="6691">
      <c r="A6691" s="3" t="s">
        <v>6646</v>
      </c>
      <c r="B6691" s="3" t="s">
        <v>6675</v>
      </c>
      <c r="C6691" s="3" t="s">
        <v>6898</v>
      </c>
      <c r="D6691" s="4" t="str">
        <f>HYPERLINK("https://12go.asia/en/travel/Gili-Trawangan-Port/Bangsal-Pier", "12Go Link")</f>
        <v>12Go Link</v>
      </c>
      <c r="E6691" s="3" t="s">
        <v>6878</v>
      </c>
      <c r="K6691" s="5"/>
    </row>
    <row r="6692">
      <c r="A6692" s="3" t="s">
        <v>6646</v>
      </c>
      <c r="B6692" s="3" t="s">
        <v>6708</v>
      </c>
      <c r="C6692" s="3" t="s">
        <v>6899</v>
      </c>
      <c r="D6692" s="4" t="str">
        <f>HYPERLINK("https://12go.asia/en/travel/Gili-Air/Sanur-Transfer", "12Go Link")</f>
        <v>12Go Link</v>
      </c>
      <c r="E6692" s="3" t="s">
        <v>6648</v>
      </c>
      <c r="K6692" s="5"/>
    </row>
    <row r="6693">
      <c r="A6693" s="3" t="s">
        <v>6646</v>
      </c>
      <c r="B6693" s="3" t="s">
        <v>6708</v>
      </c>
      <c r="C6693" s="3" t="s">
        <v>6900</v>
      </c>
      <c r="D6693" s="4" t="str">
        <f>HYPERLINK("https://12go.asia/en/travel/Gili-Air/Sanur-Wijaya-Buyuk", "12Go Link")</f>
        <v>12Go Link</v>
      </c>
      <c r="E6693" s="3" t="s">
        <v>6711</v>
      </c>
      <c r="K6693" s="5"/>
    </row>
    <row r="6694">
      <c r="A6694" s="3" t="s">
        <v>6660</v>
      </c>
      <c r="B6694" s="3" t="s">
        <v>6597</v>
      </c>
      <c r="C6694" s="3" t="s">
        <v>6901</v>
      </c>
      <c r="D6694" s="4" t="str">
        <f>HYPERLINK("https://12go.asia/en/travel/Gili-Trawangan-Beach/Padang-Bai-Pier", "12Go Link")</f>
        <v>12Go Link</v>
      </c>
      <c r="E6694" s="3" t="s">
        <v>6656</v>
      </c>
      <c r="K6694" s="5"/>
    </row>
    <row r="6695">
      <c r="A6695" s="3" t="s">
        <v>6660</v>
      </c>
      <c r="B6695" s="3" t="s">
        <v>6597</v>
      </c>
      <c r="C6695" s="3" t="s">
        <v>6902</v>
      </c>
      <c r="D6695" s="4" t="str">
        <f>HYPERLINK("https://12go.asia/en/travel/Gili-Trawangan-Gili-Getaway/Denpasar-Airport", "12Go Link")</f>
        <v>12Go Link</v>
      </c>
      <c r="E6695" s="3" t="s">
        <v>6648</v>
      </c>
      <c r="K6695" s="5"/>
    </row>
    <row r="6696">
      <c r="A6696" s="3" t="s">
        <v>6660</v>
      </c>
      <c r="B6696" s="3" t="s">
        <v>6597</v>
      </c>
      <c r="C6696" s="3" t="s">
        <v>6903</v>
      </c>
      <c r="D6696" s="4" t="str">
        <f>HYPERLINK("https://12go.asia/en/travel/Gili-Trawangan-Gili-Getaway/Denpasar-Transfer", "12Go Link")</f>
        <v>12Go Link</v>
      </c>
      <c r="E6696" s="3" t="s">
        <v>6648</v>
      </c>
      <c r="K6696" s="5"/>
    </row>
    <row r="6697">
      <c r="A6697" s="3" t="s">
        <v>6660</v>
      </c>
      <c r="B6697" s="3" t="s">
        <v>6597</v>
      </c>
      <c r="C6697" s="3" t="s">
        <v>6904</v>
      </c>
      <c r="D6697" s="4" t="str">
        <f>HYPERLINK("https://12go.asia/en/travel/Gili-Trawangan-Gili-Getaway/Jimbaran-Transfer", "12Go Link")</f>
        <v>12Go Link</v>
      </c>
      <c r="E6697" s="3" t="s">
        <v>6648</v>
      </c>
      <c r="K6697" s="5"/>
    </row>
    <row r="6698">
      <c r="A6698" s="3" t="s">
        <v>6660</v>
      </c>
      <c r="B6698" s="3" t="s">
        <v>6597</v>
      </c>
      <c r="C6698" s="3" t="s">
        <v>6905</v>
      </c>
      <c r="D6698" s="4" t="str">
        <f>HYPERLINK("https://12go.asia/en/travel/Gili-Trawangan-Gili-Getaway/Kerobokan-Transfer", "12Go Link")</f>
        <v>12Go Link</v>
      </c>
      <c r="E6698" s="3" t="s">
        <v>6648</v>
      </c>
      <c r="K6698" s="5"/>
    </row>
    <row r="6699">
      <c r="A6699" s="3" t="s">
        <v>6660</v>
      </c>
      <c r="B6699" s="3" t="s">
        <v>6597</v>
      </c>
      <c r="C6699" s="3" t="s">
        <v>6906</v>
      </c>
      <c r="D6699" s="4" t="str">
        <f>HYPERLINK("https://12go.asia/en/travel/Gili-Trawangan-Gili-Getaway/Kuta-Transfer", "12Go Link")</f>
        <v>12Go Link</v>
      </c>
      <c r="E6699" s="3" t="s">
        <v>6648</v>
      </c>
      <c r="K6699" s="5"/>
    </row>
    <row r="6700">
      <c r="A6700" s="3" t="s">
        <v>6660</v>
      </c>
      <c r="B6700" s="3" t="s">
        <v>6597</v>
      </c>
      <c r="C6700" s="3" t="s">
        <v>6907</v>
      </c>
      <c r="D6700" s="4" t="str">
        <f>HYPERLINK("https://12go.asia/en/travel/Gili-Trawangan-Gili-Getaway/Legian-Transfer", "12Go Link")</f>
        <v>12Go Link</v>
      </c>
      <c r="E6700" s="3" t="s">
        <v>6648</v>
      </c>
      <c r="K6700" s="5"/>
    </row>
    <row r="6701">
      <c r="A6701" s="3" t="s">
        <v>6660</v>
      </c>
      <c r="B6701" s="3" t="s">
        <v>6597</v>
      </c>
      <c r="C6701" s="3" t="s">
        <v>6908</v>
      </c>
      <c r="D6701" s="4" t="str">
        <f>HYPERLINK("https://12go.asia/en/travel/Gili-Trawangan-Gili-Getaway/Nusa-Dua-Transfer", "12Go Link")</f>
        <v>12Go Link</v>
      </c>
      <c r="E6701" s="3" t="s">
        <v>6648</v>
      </c>
      <c r="K6701" s="5"/>
    </row>
    <row r="6702">
      <c r="A6702" s="3" t="s">
        <v>6660</v>
      </c>
      <c r="B6702" s="3" t="s">
        <v>6597</v>
      </c>
      <c r="C6702" s="3" t="s">
        <v>6909</v>
      </c>
      <c r="D6702" s="4" t="str">
        <f>HYPERLINK("https://12go.asia/en/travel/Gili-Trawangan-Gili-Getaway/Seminyak-Transfer", "12Go Link")</f>
        <v>12Go Link</v>
      </c>
      <c r="E6702" s="3" t="s">
        <v>6648</v>
      </c>
      <c r="K6702" s="5"/>
    </row>
    <row r="6703">
      <c r="A6703" s="3" t="s">
        <v>6660</v>
      </c>
      <c r="B6703" s="3" t="s">
        <v>6597</v>
      </c>
      <c r="C6703" s="3" t="s">
        <v>6910</v>
      </c>
      <c r="D6703" s="4" t="str">
        <f>HYPERLINK("https://12go.asia/en/travel/Gili-Trawangan-Gili-Getaway/Serangan-Pier-Gili-Getaway", "12Go Link")</f>
        <v>12Go Link</v>
      </c>
      <c r="E6703" s="3" t="s">
        <v>6648</v>
      </c>
      <c r="K6703" s="5"/>
    </row>
    <row r="6704">
      <c r="A6704" s="3" t="s">
        <v>6660</v>
      </c>
      <c r="B6704" s="3" t="s">
        <v>6597</v>
      </c>
      <c r="C6704" s="3" t="s">
        <v>6911</v>
      </c>
      <c r="D6704" s="4" t="str">
        <f>HYPERLINK("https://12go.asia/en/travel/Gili-Trawangan-Gili-Getaway/Tanjung-Benoa-Transfer", "12Go Link")</f>
        <v>12Go Link</v>
      </c>
      <c r="E6704" s="3" t="s">
        <v>6648</v>
      </c>
      <c r="K6704" s="5"/>
    </row>
    <row r="6705">
      <c r="A6705" s="3" t="s">
        <v>6660</v>
      </c>
      <c r="B6705" s="3" t="s">
        <v>6597</v>
      </c>
      <c r="C6705" s="3" t="s">
        <v>6912</v>
      </c>
      <c r="D6705" s="4" t="str">
        <f>HYPERLINK("https://12go.asia/en/travel/Gili-Trawangan-Gili-Getaway/Umalas-Transfer", "12Go Link")</f>
        <v>12Go Link</v>
      </c>
      <c r="E6705" s="3" t="s">
        <v>6648</v>
      </c>
      <c r="K6705" s="5"/>
    </row>
    <row r="6706">
      <c r="A6706" s="3" t="s">
        <v>6660</v>
      </c>
      <c r="B6706" s="3" t="s">
        <v>6644</v>
      </c>
      <c r="C6706" s="3" t="s">
        <v>6913</v>
      </c>
      <c r="D6706" s="4" t="str">
        <f>HYPERLINK("https://12go.asia/en/travel/Gili-Trawangan-Gili-Getaway/Happy-Chappy-Restaurant", "12Go Link")</f>
        <v>12Go Link</v>
      </c>
      <c r="E6706" s="3" t="s">
        <v>6648</v>
      </c>
      <c r="K6706" s="5"/>
    </row>
    <row r="6707">
      <c r="A6707" s="3" t="s">
        <v>6660</v>
      </c>
      <c r="B6707" s="3" t="s">
        <v>6708</v>
      </c>
      <c r="C6707" s="3" t="s">
        <v>6914</v>
      </c>
      <c r="D6707" s="4" t="str">
        <f>HYPERLINK("https://12go.asia/en/travel/Gili-Trawangan-Gili-Getaway/Sanur-Transfer", "12Go Link")</f>
        <v>12Go Link</v>
      </c>
      <c r="E6707" s="3" t="s">
        <v>6648</v>
      </c>
      <c r="K6707" s="5"/>
    </row>
    <row r="6708">
      <c r="A6708" s="3" t="s">
        <v>6660</v>
      </c>
      <c r="B6708" s="3" t="s">
        <v>6708</v>
      </c>
      <c r="C6708" s="3" t="s">
        <v>6915</v>
      </c>
      <c r="D6708" s="4" t="str">
        <f>HYPERLINK("https://12go.asia/en/travel/Gili-Trawangan-Wijaya-Buyuk/Sanur-Wijaya-Buyuk", "12Go Link")</f>
        <v>12Go Link</v>
      </c>
      <c r="E6708" s="3" t="s">
        <v>6711</v>
      </c>
      <c r="K6708" s="5"/>
    </row>
    <row r="6709">
      <c r="A6709" s="3" t="s">
        <v>6747</v>
      </c>
      <c r="B6709" s="3" t="s">
        <v>6749</v>
      </c>
      <c r="C6709" s="3" t="s">
        <v>6916</v>
      </c>
      <c r="D6709" s="4" t="str">
        <f>HYPERLINK("https://12go.asia/en/travel/Kantor-Wisata-Komodo-Gilimanuk/Terminal-Bus-Kebumen", "12Go Link")</f>
        <v>12Go Link</v>
      </c>
      <c r="E6709" s="3" t="s">
        <v>6746</v>
      </c>
      <c r="K6709" s="5"/>
    </row>
    <row r="6710">
      <c r="A6710" s="3" t="s">
        <v>6747</v>
      </c>
      <c r="B6710" s="3" t="s">
        <v>6757</v>
      </c>
      <c r="C6710" s="3" t="s">
        <v>6917</v>
      </c>
      <c r="D6710" s="4" t="str">
        <f>HYPERLINK("https://12go.asia/en/travel/Kantor-Wisata-Komodo-Gilimanuk/Terminal-Purwokerto", "12Go Link")</f>
        <v>12Go Link</v>
      </c>
      <c r="E6710" s="3" t="s">
        <v>6746</v>
      </c>
      <c r="K6710" s="5"/>
    </row>
    <row r="6711">
      <c r="A6711" s="3" t="s">
        <v>6747</v>
      </c>
      <c r="B6711" s="3" t="s">
        <v>6759</v>
      </c>
      <c r="C6711" s="3" t="s">
        <v>6918</v>
      </c>
      <c r="D6711" s="4" t="str">
        <f>HYPERLINK("https://12go.asia/en/travel/Kantor-Wisata-Komodo-Gilimanuk/Terminal-Purabaya-Bungurasih", "12Go Link")</f>
        <v>12Go Link</v>
      </c>
      <c r="E6711" s="3" t="s">
        <v>6746</v>
      </c>
      <c r="K6711" s="5"/>
    </row>
    <row r="6712">
      <c r="A6712" s="3" t="s">
        <v>6747</v>
      </c>
      <c r="B6712" s="3" t="s">
        <v>6761</v>
      </c>
      <c r="C6712" s="3" t="s">
        <v>6919</v>
      </c>
      <c r="D6712" s="4" t="str">
        <f>HYPERLINK("https://12go.asia/en/travel/Kantor-Wisata-Komodo-Gilimanuk/Terminal-Tirtonadi", "12Go Link")</f>
        <v>12Go Link</v>
      </c>
      <c r="E6712" s="3" t="s">
        <v>6746</v>
      </c>
      <c r="K6712" s="5"/>
    </row>
    <row r="6713">
      <c r="A6713" s="3" t="s">
        <v>6747</v>
      </c>
      <c r="B6713" s="3" t="s">
        <v>6765</v>
      </c>
      <c r="C6713" s="3" t="s">
        <v>6920</v>
      </c>
      <c r="D6713" s="4" t="str">
        <f>HYPERLINK("https://12go.asia/en/travel/Kantor-Wisata-Komodo-Gilimanuk/Terminal-Giwangan-Yogyakarta", "12Go Link")</f>
        <v>12Go Link</v>
      </c>
      <c r="E6713" s="3" t="s">
        <v>6746</v>
      </c>
      <c r="K6713" s="5"/>
    </row>
    <row r="6714">
      <c r="A6714" s="3" t="s">
        <v>6747</v>
      </c>
      <c r="B6714" s="3" t="s">
        <v>6765</v>
      </c>
      <c r="C6714" s="3" t="s">
        <v>6921</v>
      </c>
      <c r="D6714" s="4" t="str">
        <f>HYPERLINK("https://12go.asia/en/travel/Kantor-Wisata-Komodo-Gilimanuk/Wisata-Komodo-Janti", "12Go Link")</f>
        <v>12Go Link</v>
      </c>
      <c r="E6714" s="3" t="s">
        <v>6746</v>
      </c>
      <c r="K6714" s="5"/>
    </row>
    <row r="6715">
      <c r="A6715" s="3" t="s">
        <v>6922</v>
      </c>
      <c r="B6715" s="3" t="s">
        <v>6923</v>
      </c>
      <c r="C6715" s="3" t="s">
        <v>6924</v>
      </c>
      <c r="D6715" s="4" t="str">
        <f>HYPERLINK("https://12go.asia/en/travel/giwangan/tangerang", "12Go Link")</f>
        <v>12Go Link</v>
      </c>
      <c r="E6715" s="3" t="s">
        <v>3568</v>
      </c>
      <c r="K6715" s="5"/>
    </row>
    <row r="6716">
      <c r="A6716" s="3" t="s">
        <v>6831</v>
      </c>
      <c r="B6716" s="3" t="s">
        <v>14</v>
      </c>
      <c r="C6716" s="3" t="s">
        <v>6925</v>
      </c>
      <c r="D6716" s="4" t="str">
        <f>HYPERLINK("https://12go.asia/en/travel/i-gusti-ngurah-rai-international-airport/brisbane", "12Go Link")</f>
        <v>12Go Link</v>
      </c>
      <c r="E6716" s="3" t="s">
        <v>3568</v>
      </c>
      <c r="K6716" s="5"/>
    </row>
    <row r="6717">
      <c r="A6717" s="3" t="s">
        <v>6831</v>
      </c>
      <c r="B6717" s="3" t="s">
        <v>17</v>
      </c>
      <c r="C6717" s="3" t="s">
        <v>6926</v>
      </c>
      <c r="D6717" s="4" t="str">
        <f>HYPERLINK("https://12go.asia/en/travel/i-gusti-ngurah-rai-international-airport/brisbane-airport", "12Go Link")</f>
        <v>12Go Link</v>
      </c>
      <c r="E6717" s="3" t="s">
        <v>3568</v>
      </c>
      <c r="K6717" s="5"/>
    </row>
    <row r="6718">
      <c r="A6718" s="3" t="s">
        <v>6831</v>
      </c>
      <c r="B6718" s="3" t="s">
        <v>103</v>
      </c>
      <c r="C6718" s="3" t="s">
        <v>6927</v>
      </c>
      <c r="D6718" s="4" t="str">
        <f>HYPERLINK("https://12go.asia/en/travel/i-gusti-ngurah-rai-international-airport/canterbury-nsw", "12Go Link")</f>
        <v>12Go Link</v>
      </c>
      <c r="E6718" s="3" t="s">
        <v>3568</v>
      </c>
      <c r="K6718" s="5"/>
    </row>
    <row r="6719">
      <c r="A6719" s="3" t="s">
        <v>6831</v>
      </c>
      <c r="B6719" s="3" t="s">
        <v>123</v>
      </c>
      <c r="C6719" s="3" t="s">
        <v>6928</v>
      </c>
      <c r="D6719" s="4" t="str">
        <f>HYPERLINK("https://12go.asia/en/travel/i-gusti-ngurah-rai-international-airport/ipswich-city", "12Go Link")</f>
        <v>12Go Link</v>
      </c>
      <c r="E6719" s="3" t="s">
        <v>3568</v>
      </c>
      <c r="K6719" s="5"/>
    </row>
    <row r="6720">
      <c r="A6720" s="3" t="s">
        <v>6831</v>
      </c>
      <c r="B6720" s="3" t="s">
        <v>208</v>
      </c>
      <c r="C6720" s="3" t="s">
        <v>6929</v>
      </c>
      <c r="D6720" s="4" t="str">
        <f>HYPERLINK("https://12go.asia/en/travel/i-gusti-ngurah-rai-international-airport/melbourne", "12Go Link")</f>
        <v>12Go Link</v>
      </c>
      <c r="E6720" s="3" t="s">
        <v>3568</v>
      </c>
      <c r="K6720" s="5"/>
    </row>
    <row r="6721">
      <c r="A6721" s="3" t="s">
        <v>6831</v>
      </c>
      <c r="B6721" s="3" t="s">
        <v>6930</v>
      </c>
      <c r="C6721" s="3" t="s">
        <v>6931</v>
      </c>
      <c r="D6721" s="4" t="str">
        <f>HYPERLINK("https://12go.asia/en/travel/i-gusti-ngurah-rai-international-airport/melbourne-airport", "12Go Link")</f>
        <v>12Go Link</v>
      </c>
      <c r="E6721" s="3" t="s">
        <v>3568</v>
      </c>
      <c r="K6721" s="5"/>
    </row>
    <row r="6722">
      <c r="A6722" s="3" t="s">
        <v>6831</v>
      </c>
      <c r="B6722" s="3" t="s">
        <v>6848</v>
      </c>
      <c r="C6722" s="3" t="s">
        <v>6932</v>
      </c>
      <c r="D6722" s="4" t="str">
        <f>HYPERLINK("https://12go.asia/en/travel/i-gusti-ngurah-rai-international-airport/moreton-bay", "12Go Link")</f>
        <v>12Go Link</v>
      </c>
      <c r="E6722" s="3" t="s">
        <v>3568</v>
      </c>
      <c r="K6722" s="5"/>
    </row>
    <row r="6723">
      <c r="A6723" s="3" t="s">
        <v>6831</v>
      </c>
      <c r="B6723" s="3" t="s">
        <v>6850</v>
      </c>
      <c r="C6723" s="3" t="s">
        <v>6933</v>
      </c>
      <c r="D6723" s="4" t="str">
        <f>HYPERLINK("https://12go.asia/en/travel/i-gusti-ngurah-rai-international-airport/north-stradbroke-island", "12Go Link")</f>
        <v>12Go Link</v>
      </c>
      <c r="E6723" s="3" t="s">
        <v>3568</v>
      </c>
      <c r="K6723" s="5"/>
    </row>
    <row r="6724">
      <c r="A6724" s="3" t="s">
        <v>6831</v>
      </c>
      <c r="B6724" s="3" t="s">
        <v>6934</v>
      </c>
      <c r="C6724" s="3" t="s">
        <v>6935</v>
      </c>
      <c r="D6724" s="4" t="str">
        <f t="shared" ref="D6724:D6725" si="377">HYPERLINK("https://12go.asia/en/travel/i-gusti-ngurah-rai-international-airport/perth", "12Go Link")</f>
        <v>12Go Link</v>
      </c>
      <c r="E6724" s="3" t="s">
        <v>3568</v>
      </c>
      <c r="K6724" s="5"/>
    </row>
    <row r="6725">
      <c r="A6725" s="3" t="s">
        <v>6831</v>
      </c>
      <c r="B6725" s="3" t="s">
        <v>6934</v>
      </c>
      <c r="C6725" s="3" t="s">
        <v>6935</v>
      </c>
      <c r="D6725" s="4" t="str">
        <f t="shared" si="377"/>
        <v>12Go Link</v>
      </c>
      <c r="E6725" s="3" t="s">
        <v>3568</v>
      </c>
      <c r="K6725" s="5"/>
    </row>
    <row r="6726">
      <c r="A6726" s="3" t="s">
        <v>6831</v>
      </c>
      <c r="B6726" s="3" t="s">
        <v>6852</v>
      </c>
      <c r="C6726" s="3" t="s">
        <v>6936</v>
      </c>
      <c r="D6726" s="4" t="str">
        <f>HYPERLINK("https://12go.asia/en/travel/i-gusti-ngurah-rai-international-airport/royal-national-park", "12Go Link")</f>
        <v>12Go Link</v>
      </c>
      <c r="E6726" s="3" t="s">
        <v>3568</v>
      </c>
      <c r="K6726" s="5"/>
    </row>
    <row r="6727">
      <c r="A6727" s="3" t="s">
        <v>6831</v>
      </c>
      <c r="B6727" s="3" t="s">
        <v>203</v>
      </c>
      <c r="C6727" s="3" t="s">
        <v>6937</v>
      </c>
      <c r="D6727" s="4" t="str">
        <f>HYPERLINK("https://12go.asia/en/travel/i-gusti-ngurah-rai-international-airport/sydney", "12Go Link")</f>
        <v>12Go Link</v>
      </c>
      <c r="E6727" s="3" t="s">
        <v>3568</v>
      </c>
      <c r="K6727" s="5"/>
    </row>
    <row r="6728">
      <c r="A6728" s="3" t="s">
        <v>6831</v>
      </c>
      <c r="B6728" s="3" t="s">
        <v>11</v>
      </c>
      <c r="C6728" s="3" t="s">
        <v>6938</v>
      </c>
      <c r="D6728" s="4" t="str">
        <f>HYPERLINK("https://12go.asia/en/travel/i-gusti-ngurah-rai-international-airport/sydney-airport", "12Go Link")</f>
        <v>12Go Link</v>
      </c>
      <c r="E6728" s="3" t="s">
        <v>3568</v>
      </c>
      <c r="K6728" s="5"/>
    </row>
    <row r="6729">
      <c r="A6729" s="3" t="s">
        <v>6831</v>
      </c>
      <c r="B6729" s="3" t="s">
        <v>6854</v>
      </c>
      <c r="C6729" s="3" t="s">
        <v>6939</v>
      </c>
      <c r="D6729" s="4" t="str">
        <f>HYPERLINK("https://12go.asia/en/travel/i-gusti-ngurah-rai-international-airport/victoria", "12Go Link")</f>
        <v>12Go Link</v>
      </c>
      <c r="E6729" s="3" t="s">
        <v>3568</v>
      </c>
      <c r="K6729" s="5"/>
    </row>
    <row r="6730">
      <c r="A6730" s="3" t="s">
        <v>6831</v>
      </c>
      <c r="B6730" s="3" t="s">
        <v>6940</v>
      </c>
      <c r="C6730" s="3" t="s">
        <v>6941</v>
      </c>
      <c r="D6730" s="4" t="str">
        <f>HYPERLINK("https://12go.asia/en/travel/i-gusti-ngurah-rai-international-airport/bandjarmasin", "12Go Link")</f>
        <v>12Go Link</v>
      </c>
      <c r="E6730" s="3" t="s">
        <v>3568</v>
      </c>
      <c r="K6730" s="5"/>
    </row>
    <row r="6731">
      <c r="A6731" s="3" t="s">
        <v>6831</v>
      </c>
      <c r="B6731" s="3" t="s">
        <v>6768</v>
      </c>
      <c r="C6731" s="3" t="s">
        <v>6942</v>
      </c>
      <c r="D6731" s="4" t="str">
        <f>HYPERLINK("https://12go.asia/en/travel/i-gusti-ngurah-rai-international-airport/bekasi", "12Go Link")</f>
        <v>12Go Link</v>
      </c>
      <c r="E6731" s="3" t="s">
        <v>3568</v>
      </c>
      <c r="K6731" s="5"/>
    </row>
    <row r="6732">
      <c r="A6732" s="3" t="s">
        <v>6831</v>
      </c>
      <c r="B6732" s="3" t="s">
        <v>6830</v>
      </c>
      <c r="C6732" s="3" t="s">
        <v>6943</v>
      </c>
      <c r="D6732" s="4" t="str">
        <f>HYPERLINK("https://12go.asia/en/travel/i-gusti-ngurah-rai-international-airport/bima", "12Go Link")</f>
        <v>12Go Link</v>
      </c>
      <c r="E6732" s="3" t="s">
        <v>3568</v>
      </c>
      <c r="K6732" s="5"/>
    </row>
    <row r="6733">
      <c r="A6733" s="3" t="s">
        <v>6831</v>
      </c>
      <c r="B6733" s="3" t="s">
        <v>6944</v>
      </c>
      <c r="C6733" s="3" t="s">
        <v>6945</v>
      </c>
      <c r="D6733" s="4" t="str">
        <f>HYPERLINK("https://12go.asia/en/travel/i-gusti-ngurah-rai-international-airport/central-java", "12Go Link")</f>
        <v>12Go Link</v>
      </c>
      <c r="E6733" s="3" t="s">
        <v>3568</v>
      </c>
      <c r="K6733" s="5"/>
    </row>
    <row r="6734">
      <c r="A6734" s="3" t="s">
        <v>6831</v>
      </c>
      <c r="B6734" s="3" t="s">
        <v>6946</v>
      </c>
      <c r="C6734" s="3" t="s">
        <v>6947</v>
      </c>
      <c r="D6734" s="4" t="str">
        <f t="shared" ref="D6734:D6735" si="378">HYPERLINK("https://12go.asia/en/travel/i-gusti-ngurah-rai-international-airport/east-nusa-tenggara", "12Go Link")</f>
        <v>12Go Link</v>
      </c>
      <c r="E6734" s="3" t="s">
        <v>3568</v>
      </c>
      <c r="K6734" s="5"/>
    </row>
    <row r="6735">
      <c r="A6735" s="3" t="s">
        <v>6831</v>
      </c>
      <c r="B6735" s="3" t="s">
        <v>6946</v>
      </c>
      <c r="C6735" s="3" t="s">
        <v>6947</v>
      </c>
      <c r="D6735" s="4" t="str">
        <f t="shared" si="378"/>
        <v>12Go Link</v>
      </c>
      <c r="E6735" s="3" t="s">
        <v>3568</v>
      </c>
      <c r="K6735" s="5"/>
    </row>
    <row r="6736">
      <c r="A6736" s="3" t="s">
        <v>6831</v>
      </c>
      <c r="B6736" s="3" t="s">
        <v>6842</v>
      </c>
      <c r="C6736" s="3" t="s">
        <v>6948</v>
      </c>
      <c r="D6736" s="4" t="str">
        <f>HYPERLINK("https://12go.asia/en/travel/i-gusti-ngurah-rai-international-airport/jakarta-airport", "12Go Link")</f>
        <v>12Go Link</v>
      </c>
      <c r="E6736" s="3" t="s">
        <v>3568</v>
      </c>
      <c r="K6736" s="5"/>
    </row>
    <row r="6737">
      <c r="A6737" s="3" t="s">
        <v>6831</v>
      </c>
      <c r="B6737" s="3" t="s">
        <v>6783</v>
      </c>
      <c r="C6737" s="3" t="s">
        <v>6949</v>
      </c>
      <c r="D6737" s="4" t="str">
        <f>HYPERLINK("https://12go.asia/en/travel/i-gusti-ngurah-rai-international-airport/java", "12Go Link")</f>
        <v>12Go Link</v>
      </c>
      <c r="E6737" s="3" t="s">
        <v>3568</v>
      </c>
      <c r="K6737" s="5"/>
    </row>
    <row r="6738">
      <c r="A6738" s="3" t="s">
        <v>6831</v>
      </c>
      <c r="B6738" s="3" t="s">
        <v>6950</v>
      </c>
      <c r="C6738" s="3" t="s">
        <v>6951</v>
      </c>
      <c r="D6738" s="4" t="str">
        <f>HYPERLINK("https://12go.asia/en/travel/i-gusti-ngurah-rai-international-airport/komodo", "12Go Link")</f>
        <v>12Go Link</v>
      </c>
      <c r="E6738" s="3" t="s">
        <v>3568</v>
      </c>
      <c r="K6738" s="5"/>
    </row>
    <row r="6739">
      <c r="A6739" s="3" t="s">
        <v>6831</v>
      </c>
      <c r="B6739" s="3" t="s">
        <v>6952</v>
      </c>
      <c r="C6739" s="3" t="s">
        <v>6953</v>
      </c>
      <c r="D6739" s="4" t="str">
        <f>HYPERLINK("https://12go.asia/en/travel/i-gusti-ngurah-rai-international-airport/komodo-airport", "12Go Link")</f>
        <v>12Go Link</v>
      </c>
      <c r="E6739" s="3" t="s">
        <v>3568</v>
      </c>
      <c r="K6739" s="5"/>
    </row>
    <row r="6740">
      <c r="A6740" s="3" t="s">
        <v>6831</v>
      </c>
      <c r="B6740" s="3" t="s">
        <v>6789</v>
      </c>
      <c r="C6740" s="3" t="s">
        <v>6954</v>
      </c>
      <c r="D6740" s="4" t="str">
        <f>HYPERLINK("https://12go.asia/en/travel/i-gusti-ngurah-rai-international-airport/kupang", "12Go Link")</f>
        <v>12Go Link</v>
      </c>
      <c r="E6740" s="3" t="s">
        <v>3568</v>
      </c>
      <c r="K6740" s="5"/>
    </row>
    <row r="6741">
      <c r="A6741" s="3" t="s">
        <v>6831</v>
      </c>
      <c r="B6741" s="3" t="s">
        <v>6955</v>
      </c>
      <c r="C6741" s="3" t="s">
        <v>6956</v>
      </c>
      <c r="D6741" s="4" t="str">
        <f t="shared" ref="D6741:D6742" si="379">HYPERLINK("https://12go.asia/en/travel/i-gusti-ngurah-rai-international-airport/makassar", "12Go Link")</f>
        <v>12Go Link</v>
      </c>
      <c r="E6741" s="3" t="s">
        <v>3568</v>
      </c>
      <c r="K6741" s="5"/>
    </row>
    <row r="6742">
      <c r="A6742" s="3" t="s">
        <v>6831</v>
      </c>
      <c r="B6742" s="3" t="s">
        <v>6955</v>
      </c>
      <c r="C6742" s="3" t="s">
        <v>6956</v>
      </c>
      <c r="D6742" s="4" t="str">
        <f t="shared" si="379"/>
        <v>12Go Link</v>
      </c>
      <c r="E6742" s="3" t="s">
        <v>3568</v>
      </c>
      <c r="K6742" s="5"/>
    </row>
    <row r="6743">
      <c r="A6743" s="3" t="s">
        <v>6831</v>
      </c>
      <c r="B6743" s="3" t="s">
        <v>6791</v>
      </c>
      <c r="C6743" s="3" t="s">
        <v>6957</v>
      </c>
      <c r="D6743" s="4" t="str">
        <f>HYPERLINK("https://12go.asia/en/travel/i-gusti-ngurah-rai-international-airport/martapura", "12Go Link")</f>
        <v>12Go Link</v>
      </c>
      <c r="E6743" s="3" t="s">
        <v>3568</v>
      </c>
      <c r="K6743" s="5"/>
    </row>
    <row r="6744">
      <c r="A6744" s="3" t="s">
        <v>6831</v>
      </c>
      <c r="B6744" s="3" t="s">
        <v>6958</v>
      </c>
      <c r="C6744" s="3" t="s">
        <v>6959</v>
      </c>
      <c r="D6744" s="4" t="str">
        <f>HYPERLINK("https://12go.asia/en/travel/i-gusti-ngurah-rai-international-airport/pasuruan", "12Go Link")</f>
        <v>12Go Link</v>
      </c>
      <c r="E6744" s="3" t="s">
        <v>3568</v>
      </c>
      <c r="K6744" s="5"/>
    </row>
    <row r="6745">
      <c r="A6745" s="3" t="s">
        <v>6831</v>
      </c>
      <c r="B6745" s="3" t="s">
        <v>6860</v>
      </c>
      <c r="C6745" s="3" t="s">
        <v>6960</v>
      </c>
      <c r="D6745" s="4" t="str">
        <f>HYPERLINK("https://12go.asia/en/travel/i-gusti-ngurah-rai-international-airport/raba", "12Go Link")</f>
        <v>12Go Link</v>
      </c>
      <c r="E6745" s="3" t="s">
        <v>3568</v>
      </c>
      <c r="K6745" s="5"/>
    </row>
    <row r="6746">
      <c r="A6746" s="3" t="s">
        <v>6831</v>
      </c>
      <c r="B6746" s="3" t="s">
        <v>6961</v>
      </c>
      <c r="C6746" s="3" t="s">
        <v>6962</v>
      </c>
      <c r="D6746" s="4" t="str">
        <f>HYPERLINK("https://12go.asia/en/travel/i-gusti-ngurah-rai-international-airport/rinca", "12Go Link")</f>
        <v>12Go Link</v>
      </c>
      <c r="E6746" s="3" t="s">
        <v>3568</v>
      </c>
      <c r="K6746" s="5"/>
    </row>
    <row r="6747">
      <c r="A6747" s="3" t="s">
        <v>6831</v>
      </c>
      <c r="B6747" s="3" t="s">
        <v>6862</v>
      </c>
      <c r="C6747" s="3" t="s">
        <v>6963</v>
      </c>
      <c r="D6747" s="4" t="str">
        <f>HYPERLINK("https://12go.asia/en/travel/i-gusti-ngurah-rai-international-airport/ruteng", "12Go Link")</f>
        <v>12Go Link</v>
      </c>
      <c r="E6747" s="3" t="s">
        <v>3568</v>
      </c>
      <c r="K6747" s="5"/>
    </row>
    <row r="6748">
      <c r="A6748" s="3" t="s">
        <v>6831</v>
      </c>
      <c r="B6748" s="3" t="s">
        <v>6964</v>
      </c>
      <c r="C6748" s="3" t="s">
        <v>6965</v>
      </c>
      <c r="D6748" s="4" t="str">
        <f>HYPERLINK("https://12go.asia/en/travel/i-gusti-ngurah-rai-international-airport/semarang", "12Go Link")</f>
        <v>12Go Link</v>
      </c>
      <c r="E6748" s="3" t="s">
        <v>3568</v>
      </c>
      <c r="K6748" s="5"/>
    </row>
    <row r="6749">
      <c r="A6749" s="3" t="s">
        <v>6831</v>
      </c>
      <c r="B6749" s="3" t="s">
        <v>6805</v>
      </c>
      <c r="C6749" s="3" t="s">
        <v>6966</v>
      </c>
      <c r="D6749" s="4" t="str">
        <f>HYPERLINK("https://12go.asia/en/travel/i-gusti-ngurah-rai-international-airport/south-kalimantan", "12Go Link")</f>
        <v>12Go Link</v>
      </c>
      <c r="E6749" s="3" t="s">
        <v>3568</v>
      </c>
      <c r="K6749" s="5"/>
    </row>
    <row r="6750">
      <c r="A6750" s="3" t="s">
        <v>6831</v>
      </c>
      <c r="B6750" s="3" t="s">
        <v>6967</v>
      </c>
      <c r="C6750" s="3" t="s">
        <v>6968</v>
      </c>
      <c r="D6750" s="4" t="str">
        <f t="shared" ref="D6750:D6751" si="380">HYPERLINK("https://12go.asia/en/travel/i-gusti-ngurah-rai-international-airport/south-sulawesi", "12Go Link")</f>
        <v>12Go Link</v>
      </c>
      <c r="E6750" s="3" t="s">
        <v>3568</v>
      </c>
      <c r="K6750" s="5"/>
    </row>
    <row r="6751">
      <c r="A6751" s="3" t="s">
        <v>6831</v>
      </c>
      <c r="B6751" s="3" t="s">
        <v>6967</v>
      </c>
      <c r="C6751" s="3" t="s">
        <v>6968</v>
      </c>
      <c r="D6751" s="4" t="str">
        <f t="shared" si="380"/>
        <v>12Go Link</v>
      </c>
      <c r="E6751" s="3" t="s">
        <v>3568</v>
      </c>
      <c r="K6751" s="5"/>
    </row>
    <row r="6752">
      <c r="A6752" s="3" t="s">
        <v>6831</v>
      </c>
      <c r="B6752" s="3" t="s">
        <v>6759</v>
      </c>
      <c r="C6752" s="3" t="s">
        <v>6969</v>
      </c>
      <c r="D6752" s="4" t="str">
        <f>HYPERLINK("https://12go.asia/en/travel/i-gusti-ngurah-rai-international-airport/surabaya", "12Go Link")</f>
        <v>12Go Link</v>
      </c>
      <c r="E6752" s="3" t="s">
        <v>3568</v>
      </c>
      <c r="K6752" s="5"/>
    </row>
    <row r="6753">
      <c r="A6753" s="3" t="s">
        <v>6831</v>
      </c>
      <c r="B6753" s="3" t="s">
        <v>6923</v>
      </c>
      <c r="C6753" s="3" t="s">
        <v>6970</v>
      </c>
      <c r="D6753" s="4" t="str">
        <f>HYPERLINK("https://12go.asia/en/travel/i-gusti-ngurah-rai-international-airport/tangerang", "12Go Link")</f>
        <v>12Go Link</v>
      </c>
      <c r="E6753" s="3" t="s">
        <v>3568</v>
      </c>
      <c r="K6753" s="5"/>
    </row>
    <row r="6754">
      <c r="A6754" s="3" t="s">
        <v>6831</v>
      </c>
      <c r="B6754" s="3" t="s">
        <v>6815</v>
      </c>
      <c r="C6754" s="3" t="s">
        <v>6971</v>
      </c>
      <c r="D6754" s="4" t="str">
        <f t="shared" ref="D6754:D6755" si="381">HYPERLINK("https://12go.asia/en/travel/i-gusti-ngurah-rai-international-airport/ujungpandang", "12Go Link")</f>
        <v>12Go Link</v>
      </c>
      <c r="E6754" s="3" t="s">
        <v>3568</v>
      </c>
      <c r="K6754" s="5"/>
    </row>
    <row r="6755">
      <c r="A6755" s="3" t="s">
        <v>6831</v>
      </c>
      <c r="B6755" s="3" t="s">
        <v>6815</v>
      </c>
      <c r="C6755" s="3" t="s">
        <v>6971</v>
      </c>
      <c r="D6755" s="4" t="str">
        <f t="shared" si="381"/>
        <v>12Go Link</v>
      </c>
      <c r="E6755" s="3" t="s">
        <v>3568</v>
      </c>
      <c r="K6755" s="5"/>
    </row>
    <row r="6756">
      <c r="A6756" s="3" t="s">
        <v>6831</v>
      </c>
      <c r="B6756" s="3" t="s">
        <v>6819</v>
      </c>
      <c r="C6756" s="3" t="s">
        <v>6972</v>
      </c>
      <c r="D6756" s="4" t="str">
        <f>HYPERLINK("https://12go.asia/en/travel/i-gusti-ngurah-rai-international-airport/yogyakarta-airport", "12Go Link")</f>
        <v>12Go Link</v>
      </c>
      <c r="E6756" s="3" t="s">
        <v>3568</v>
      </c>
      <c r="K6756" s="5"/>
    </row>
    <row r="6757">
      <c r="A6757" s="3" t="s">
        <v>6831</v>
      </c>
      <c r="B6757" s="3" t="s">
        <v>3566</v>
      </c>
      <c r="C6757" s="3" t="s">
        <v>6973</v>
      </c>
      <c r="D6757" s="4" t="str">
        <f>HYPERLINK("https://12go.asia/en/travel/i-gusti-ngurah-rai-international-airport/bandar-sunway", "12Go Link")</f>
        <v>12Go Link</v>
      </c>
      <c r="E6757" s="3" t="s">
        <v>3568</v>
      </c>
      <c r="K6757" s="5"/>
    </row>
    <row r="6758">
      <c r="A6758" s="3" t="s">
        <v>6831</v>
      </c>
      <c r="B6758" s="3" t="s">
        <v>3569</v>
      </c>
      <c r="C6758" s="3" t="s">
        <v>6974</v>
      </c>
      <c r="D6758" s="4" t="str">
        <f>HYPERLINK("https://12go.asia/en/travel/i-gusti-ngurah-rai-international-airport/klang", "12Go Link")</f>
        <v>12Go Link</v>
      </c>
      <c r="E6758" s="3" t="s">
        <v>3568</v>
      </c>
      <c r="K6758" s="5"/>
    </row>
    <row r="6759">
      <c r="A6759" s="3" t="s">
        <v>6831</v>
      </c>
      <c r="B6759" s="3" t="s">
        <v>6975</v>
      </c>
      <c r="C6759" s="3" t="s">
        <v>6976</v>
      </c>
      <c r="D6759" s="4" t="str">
        <f>HYPERLINK("https://12go.asia/en/travel/i-gusti-ngurah-rai-international-airport/klia", "12Go Link")</f>
        <v>12Go Link</v>
      </c>
      <c r="E6759" s="3" t="s">
        <v>3568</v>
      </c>
      <c r="K6759" s="5"/>
    </row>
    <row r="6760">
      <c r="A6760" s="3" t="s">
        <v>6831</v>
      </c>
      <c r="B6760" s="3" t="s">
        <v>6870</v>
      </c>
      <c r="C6760" s="3" t="s">
        <v>6977</v>
      </c>
      <c r="D6760" s="4" t="str">
        <f>HYPERLINK("https://12go.asia/en/travel/i-gusti-ngurah-rai-international-airport/klia-ii", "12Go Link")</f>
        <v>12Go Link</v>
      </c>
      <c r="E6760" s="3" t="s">
        <v>3568</v>
      </c>
      <c r="K6760" s="5"/>
    </row>
    <row r="6761">
      <c r="A6761" s="3" t="s">
        <v>6831</v>
      </c>
      <c r="B6761" s="3" t="s">
        <v>6978</v>
      </c>
      <c r="C6761" s="3" t="s">
        <v>6979</v>
      </c>
      <c r="D6761" s="4" t="str">
        <f>HYPERLINK("https://12go.asia/en/travel/i-gusti-ngurah-rai-international-airport/kuala-lumpur-airport", "12Go Link")</f>
        <v>12Go Link</v>
      </c>
      <c r="E6761" s="3" t="s">
        <v>3568</v>
      </c>
      <c r="K6761" s="5"/>
    </row>
    <row r="6762">
      <c r="A6762" s="3" t="s">
        <v>6831</v>
      </c>
      <c r="B6762" s="3" t="s">
        <v>3571</v>
      </c>
      <c r="C6762" s="3" t="s">
        <v>6980</v>
      </c>
      <c r="D6762" s="4" t="str">
        <f>HYPERLINK("https://12go.asia/en/travel/i-gusti-ngurah-rai-international-airport/kuala-lumpur-sentral", "12Go Link")</f>
        <v>12Go Link</v>
      </c>
      <c r="E6762" s="3" t="s">
        <v>3568</v>
      </c>
      <c r="K6762" s="5"/>
    </row>
    <row r="6763">
      <c r="A6763" s="3" t="s">
        <v>6831</v>
      </c>
      <c r="B6763" s="3" t="s">
        <v>3573</v>
      </c>
      <c r="C6763" s="3" t="s">
        <v>6981</v>
      </c>
      <c r="D6763" s="4" t="str">
        <f>HYPERLINK("https://12go.asia/en/travel/i-gusti-ngurah-rai-international-airport/putrajaya", "12Go Link")</f>
        <v>12Go Link</v>
      </c>
      <c r="E6763" s="3" t="s">
        <v>3568</v>
      </c>
      <c r="K6763" s="5"/>
    </row>
    <row r="6764">
      <c r="A6764" s="3" t="s">
        <v>6831</v>
      </c>
      <c r="B6764" s="3" t="s">
        <v>3575</v>
      </c>
      <c r="C6764" s="3" t="s">
        <v>6982</v>
      </c>
      <c r="D6764" s="4" t="str">
        <f>HYPERLINK("https://12go.asia/en/travel/i-gusti-ngurah-rai-international-airport/seremban", "12Go Link")</f>
        <v>12Go Link</v>
      </c>
      <c r="E6764" s="3" t="s">
        <v>3568</v>
      </c>
      <c r="K6764" s="5"/>
    </row>
    <row r="6765">
      <c r="A6765" s="3" t="s">
        <v>6831</v>
      </c>
      <c r="B6765" s="3" t="s">
        <v>5926</v>
      </c>
      <c r="C6765" s="3" t="s">
        <v>6983</v>
      </c>
      <c r="D6765" s="4" t="str">
        <f>HYPERLINK("https://12go.asia/en/travel/i-gusti-ngurah-rai-international-airport/bangkok-airport", "12Go Link")</f>
        <v>12Go Link</v>
      </c>
      <c r="E6765" s="3" t="s">
        <v>3568</v>
      </c>
      <c r="K6765" s="5"/>
    </row>
    <row r="6766">
      <c r="A6766" s="3" t="s">
        <v>6831</v>
      </c>
      <c r="B6766" s="3" t="s">
        <v>5928</v>
      </c>
      <c r="C6766" s="3" t="s">
        <v>6984</v>
      </c>
      <c r="D6766" s="4" t="str">
        <f>HYPERLINK("https://12go.asia/en/travel/i-gusti-ngurah-rai-international-airport/don-mueang-airport", "12Go Link")</f>
        <v>12Go Link</v>
      </c>
      <c r="E6766" s="3" t="s">
        <v>3568</v>
      </c>
      <c r="K6766" s="5"/>
    </row>
    <row r="6767">
      <c r="A6767" s="3" t="s">
        <v>6831</v>
      </c>
      <c r="B6767" s="3" t="s">
        <v>5930</v>
      </c>
      <c r="C6767" s="3" t="s">
        <v>6985</v>
      </c>
      <c r="D6767" s="4" t="str">
        <f>HYPERLINK("https://12go.asia/en/travel/i-gusti-ngurah-rai-international-airport/rangsit", "12Go Link")</f>
        <v>12Go Link</v>
      </c>
      <c r="E6767" s="3" t="s">
        <v>3568</v>
      </c>
      <c r="K6767" s="5"/>
    </row>
    <row r="6768">
      <c r="A6768" s="3" t="s">
        <v>6986</v>
      </c>
      <c r="B6768" s="3" t="s">
        <v>6844</v>
      </c>
      <c r="C6768" s="3" t="s">
        <v>6987</v>
      </c>
      <c r="D6768" s="4" t="str">
        <f>HYPERLINK("https://12go.asia/en/travel/jakarta/delanggu", "12Go Link")</f>
        <v>12Go Link</v>
      </c>
      <c r="E6768" s="3" t="s">
        <v>3568</v>
      </c>
      <c r="K6768" s="5"/>
    </row>
    <row r="6769">
      <c r="A6769" s="3" t="s">
        <v>6986</v>
      </c>
      <c r="B6769" s="3" t="s">
        <v>6922</v>
      </c>
      <c r="C6769" s="3" t="s">
        <v>6988</v>
      </c>
      <c r="D6769" s="4" t="str">
        <f>HYPERLINK("https://12go.asia/en/travel/jakarta/giwangan", "12Go Link")</f>
        <v>12Go Link</v>
      </c>
      <c r="E6769" s="3" t="s">
        <v>3568</v>
      </c>
      <c r="K6769" s="5"/>
    </row>
    <row r="6770">
      <c r="A6770" s="3" t="s">
        <v>6986</v>
      </c>
      <c r="B6770" s="3" t="s">
        <v>6751</v>
      </c>
      <c r="C6770" s="3" t="s">
        <v>6989</v>
      </c>
      <c r="D6770" s="4" t="str">
        <f>HYPERLINK("https://12go.asia/en/travel/jakarta/mengwi", "12Go Link")</f>
        <v>12Go Link</v>
      </c>
      <c r="E6770" s="3" t="s">
        <v>3568</v>
      </c>
      <c r="K6770" s="5"/>
    </row>
    <row r="6771">
      <c r="A6771" s="3" t="s">
        <v>6986</v>
      </c>
      <c r="B6771" s="3" t="s">
        <v>6990</v>
      </c>
      <c r="C6771" s="3" t="s">
        <v>6991</v>
      </c>
      <c r="D6771" s="4" t="str">
        <f t="shared" ref="D6771:D6772" si="382">HYPERLINK("https://12go.asia/en/travel/jakarta/natar", "12Go Link")</f>
        <v>12Go Link</v>
      </c>
      <c r="E6771" s="3" t="s">
        <v>3568</v>
      </c>
      <c r="K6771" s="5"/>
    </row>
    <row r="6772">
      <c r="A6772" s="3" t="s">
        <v>6986</v>
      </c>
      <c r="B6772" s="3" t="s">
        <v>6990</v>
      </c>
      <c r="C6772" s="3" t="s">
        <v>6991</v>
      </c>
      <c r="D6772" s="4" t="str">
        <f t="shared" si="382"/>
        <v>12Go Link</v>
      </c>
      <c r="E6772" s="3" t="s">
        <v>3568</v>
      </c>
      <c r="K6772" s="5"/>
    </row>
    <row r="6773">
      <c r="A6773" s="3" t="s">
        <v>6992</v>
      </c>
      <c r="B6773" s="3" t="s">
        <v>6993</v>
      </c>
      <c r="C6773" s="3" t="s">
        <v>6994</v>
      </c>
      <c r="D6773" s="4" t="str">
        <f>HYPERLINK("https://12go.asia/en/travel/jatibening/malang", "12Go Link")</f>
        <v>12Go Link</v>
      </c>
      <c r="E6773" s="3" t="s">
        <v>3568</v>
      </c>
      <c r="K6773" s="5"/>
    </row>
    <row r="6774">
      <c r="A6774" s="3" t="s">
        <v>6992</v>
      </c>
      <c r="B6774" s="3" t="s">
        <v>6759</v>
      </c>
      <c r="C6774" s="3" t="s">
        <v>6995</v>
      </c>
      <c r="D6774" s="4" t="str">
        <f>HYPERLINK("https://12go.asia/en/travel/jatibening/surabaya", "12Go Link")</f>
        <v>12Go Link</v>
      </c>
      <c r="E6774" s="3" t="s">
        <v>3568</v>
      </c>
      <c r="K6774" s="5"/>
    </row>
    <row r="6775">
      <c r="A6775" s="3" t="s">
        <v>6992</v>
      </c>
      <c r="B6775" s="3" t="s">
        <v>6765</v>
      </c>
      <c r="C6775" s="3" t="s">
        <v>6996</v>
      </c>
      <c r="D6775" s="4" t="str">
        <f>HYPERLINK("https://12go.asia/en/travel/jatibening/yogyakarta", "12Go Link")</f>
        <v>12Go Link</v>
      </c>
      <c r="E6775" s="3" t="s">
        <v>3568</v>
      </c>
      <c r="K6775" s="5"/>
    </row>
    <row r="6776">
      <c r="A6776" s="3" t="s">
        <v>6749</v>
      </c>
      <c r="B6776" s="3" t="s">
        <v>6743</v>
      </c>
      <c r="C6776" s="3" t="s">
        <v>6997</v>
      </c>
      <c r="D6776" s="4" t="str">
        <f>HYPERLINK("https://12go.asia/en/travel/Terminal-Bus-Kebumen/Pelabuhan-Ketapang", "12Go Link")</f>
        <v>12Go Link</v>
      </c>
      <c r="E6776" s="3" t="s">
        <v>6746</v>
      </c>
      <c r="K6776" s="5"/>
    </row>
    <row r="6777">
      <c r="A6777" s="3" t="s">
        <v>6749</v>
      </c>
      <c r="B6777" s="3" t="s">
        <v>6744</v>
      </c>
      <c r="C6777" s="3" t="s">
        <v>6998</v>
      </c>
      <c r="D6777" s="4" t="str">
        <f>HYPERLINK("https://12go.asia/en/travel/Terminal-Bus-Kebumen/Kantor-Wisata-Komodo", "12Go Link")</f>
        <v>12Go Link</v>
      </c>
      <c r="E6777" s="3" t="s">
        <v>6746</v>
      </c>
      <c r="K6777" s="5"/>
    </row>
    <row r="6778">
      <c r="A6778" s="3" t="s">
        <v>6749</v>
      </c>
      <c r="B6778" s="3" t="s">
        <v>6747</v>
      </c>
      <c r="C6778" s="3" t="s">
        <v>6999</v>
      </c>
      <c r="D6778" s="4" t="str">
        <f>HYPERLINK("https://12go.asia/en/travel/Terminal-Bus-Kebumen/Kantor-Wisata-Komodo-Gilimanuk", "12Go Link")</f>
        <v>12Go Link</v>
      </c>
      <c r="E6778" s="3" t="s">
        <v>6746</v>
      </c>
      <c r="K6778" s="5"/>
    </row>
    <row r="6779">
      <c r="A6779" s="3" t="s">
        <v>6749</v>
      </c>
      <c r="B6779" s="3" t="s">
        <v>6751</v>
      </c>
      <c r="C6779" s="3" t="s">
        <v>7000</v>
      </c>
      <c r="D6779" s="4" t="str">
        <f>HYPERLINK("https://12go.asia/en/travel/Terminal-Bus-Kebumen/Terminal-Mengwi", "12Go Link")</f>
        <v>12Go Link</v>
      </c>
      <c r="E6779" s="3" t="s">
        <v>6746</v>
      </c>
      <c r="K6779" s="5"/>
    </row>
    <row r="6780">
      <c r="A6780" s="3" t="s">
        <v>6749</v>
      </c>
      <c r="B6780" s="3" t="s">
        <v>6754</v>
      </c>
      <c r="C6780" s="3" t="s">
        <v>7001</v>
      </c>
      <c r="D6780" s="4" t="str">
        <f>HYPERLINK("https://12go.asia/en/travel/Terminal-Bus-Kebumen/Terminal-Baru-Negara", "12Go Link")</f>
        <v>12Go Link</v>
      </c>
      <c r="E6780" s="3" t="s">
        <v>6746</v>
      </c>
      <c r="K6780" s="5"/>
    </row>
    <row r="6781">
      <c r="A6781" s="3" t="s">
        <v>6749</v>
      </c>
      <c r="B6781" s="3" t="s">
        <v>6763</v>
      </c>
      <c r="C6781" s="3" t="s">
        <v>7002</v>
      </c>
      <c r="D6781" s="4" t="str">
        <f>HYPERLINK("https://12go.asia/en/travel/Terminal-Bus-Kebumen/Terminal-Pesiapan", "12Go Link")</f>
        <v>12Go Link</v>
      </c>
      <c r="E6781" s="3" t="s">
        <v>6746</v>
      </c>
      <c r="K6781" s="5"/>
    </row>
    <row r="6782">
      <c r="A6782" s="3" t="s">
        <v>6671</v>
      </c>
      <c r="B6782" s="3" t="s">
        <v>6597</v>
      </c>
      <c r="C6782" s="3" t="s">
        <v>7003</v>
      </c>
      <c r="D6782" s="4" t="str">
        <f>HYPERLINK("https://12go.asia/en/travel/Kintamani-Transfer/Candidasa-Transfer", "12Go Link")</f>
        <v>12Go Link</v>
      </c>
      <c r="E6782" s="3" t="s">
        <v>6599</v>
      </c>
      <c r="K6782" s="5"/>
    </row>
    <row r="6783">
      <c r="A6783" s="3" t="s">
        <v>6671</v>
      </c>
      <c r="B6783" s="3" t="s">
        <v>6597</v>
      </c>
      <c r="C6783" s="3" t="s">
        <v>7004</v>
      </c>
      <c r="D6783" s="4" t="str">
        <f>HYPERLINK("https://12go.asia/en/travel/Kintamani-Transfer/Padang-Bai-Port", "12Go Link")</f>
        <v>12Go Link</v>
      </c>
      <c r="E6783" s="3" t="s">
        <v>6599</v>
      </c>
      <c r="K6783" s="5"/>
    </row>
    <row r="6784">
      <c r="A6784" s="3" t="s">
        <v>6671</v>
      </c>
      <c r="B6784" s="3" t="s">
        <v>6708</v>
      </c>
      <c r="C6784" s="3" t="s">
        <v>7005</v>
      </c>
      <c r="D6784" s="4" t="str">
        <f>HYPERLINK("https://12go.asia/en/travel/Kintamani-Transfer/Sanur-Transfer", "12Go Link")</f>
        <v>12Go Link</v>
      </c>
      <c r="E6784" s="3" t="s">
        <v>6599</v>
      </c>
      <c r="K6784" s="5"/>
    </row>
    <row r="6785">
      <c r="A6785" s="3" t="s">
        <v>6671</v>
      </c>
      <c r="B6785" s="3" t="s">
        <v>6724</v>
      </c>
      <c r="C6785" s="3" t="s">
        <v>7006</v>
      </c>
      <c r="D6785" s="4" t="str">
        <f>HYPERLINK("https://12go.asia/en/travel/Kintamani-Transfer/Ubud-Transfer", "12Go Link")</f>
        <v>12Go Link</v>
      </c>
      <c r="E6785" s="3" t="s">
        <v>6599</v>
      </c>
      <c r="K6785" s="5"/>
    </row>
    <row r="6786">
      <c r="A6786" s="3" t="s">
        <v>6787</v>
      </c>
      <c r="B6786" s="3" t="s">
        <v>6986</v>
      </c>
      <c r="C6786" s="3" t="s">
        <v>7007</v>
      </c>
      <c r="D6786" s="4" t="str">
        <f>HYPERLINK("https://12go.asia/en/travel/kulon-progo/jakarta", "12Go Link")</f>
        <v>12Go Link</v>
      </c>
      <c r="E6786" s="3" t="s">
        <v>3568</v>
      </c>
      <c r="K6786" s="5"/>
    </row>
    <row r="6787">
      <c r="A6787" s="3" t="s">
        <v>6675</v>
      </c>
      <c r="B6787" s="3" t="s">
        <v>6597</v>
      </c>
      <c r="C6787" s="3" t="s">
        <v>7008</v>
      </c>
      <c r="D6787" s="4" t="str">
        <f>HYPERLINK("https://12go.asia/en/travel/Bangsal-Pier/Denpasar-Airport", "12Go Link")</f>
        <v>12Go Link</v>
      </c>
      <c r="E6787" s="3" t="s">
        <v>6648</v>
      </c>
      <c r="K6787" s="5"/>
    </row>
    <row r="6788">
      <c r="A6788" s="3" t="s">
        <v>6675</v>
      </c>
      <c r="B6788" s="3" t="s">
        <v>6597</v>
      </c>
      <c r="C6788" s="3" t="s">
        <v>7009</v>
      </c>
      <c r="D6788" s="4" t="str">
        <f>HYPERLINK("https://12go.asia/en/travel/Bangsal-Pier/Denpasar-Transfer", "12Go Link")</f>
        <v>12Go Link</v>
      </c>
      <c r="E6788" s="3" t="s">
        <v>6648</v>
      </c>
      <c r="K6788" s="5"/>
    </row>
    <row r="6789">
      <c r="A6789" s="3" t="s">
        <v>6675</v>
      </c>
      <c r="B6789" s="3" t="s">
        <v>6597</v>
      </c>
      <c r="C6789" s="3" t="s">
        <v>7010</v>
      </c>
      <c r="D6789" s="4" t="str">
        <f>HYPERLINK("https://12go.asia/en/travel/Bangsal-Pier/Jimbaran-Transfer", "12Go Link")</f>
        <v>12Go Link</v>
      </c>
      <c r="E6789" s="3" t="s">
        <v>6648</v>
      </c>
      <c r="K6789" s="5"/>
    </row>
    <row r="6790">
      <c r="A6790" s="3" t="s">
        <v>6675</v>
      </c>
      <c r="B6790" s="3" t="s">
        <v>6597</v>
      </c>
      <c r="C6790" s="3" t="s">
        <v>7011</v>
      </c>
      <c r="D6790" s="4" t="str">
        <f>HYPERLINK("https://12go.asia/en/travel/Bangsal-Pier/Kerobokan-Transfer", "12Go Link")</f>
        <v>12Go Link</v>
      </c>
      <c r="E6790" s="3" t="s">
        <v>6648</v>
      </c>
      <c r="K6790" s="5"/>
    </row>
    <row r="6791">
      <c r="A6791" s="3" t="s">
        <v>6675</v>
      </c>
      <c r="B6791" s="3" t="s">
        <v>6597</v>
      </c>
      <c r="C6791" s="3" t="s">
        <v>7012</v>
      </c>
      <c r="D6791" s="4" t="str">
        <f>HYPERLINK("https://12go.asia/en/travel/Bangsal-Pier/Kuta-Transfer", "12Go Link")</f>
        <v>12Go Link</v>
      </c>
      <c r="E6791" s="3" t="s">
        <v>6648</v>
      </c>
      <c r="K6791" s="5"/>
    </row>
    <row r="6792">
      <c r="A6792" s="3" t="s">
        <v>6675</v>
      </c>
      <c r="B6792" s="3" t="s">
        <v>6597</v>
      </c>
      <c r="C6792" s="3" t="s">
        <v>7013</v>
      </c>
      <c r="D6792" s="4" t="str">
        <f>HYPERLINK("https://12go.asia/en/travel/Bangsal-Pier/Legian-Transfer", "12Go Link")</f>
        <v>12Go Link</v>
      </c>
      <c r="E6792" s="3" t="s">
        <v>6648</v>
      </c>
      <c r="K6792" s="5"/>
    </row>
    <row r="6793">
      <c r="A6793" s="3" t="s">
        <v>6675</v>
      </c>
      <c r="B6793" s="3" t="s">
        <v>6597</v>
      </c>
      <c r="C6793" s="3" t="s">
        <v>7014</v>
      </c>
      <c r="D6793" s="4" t="str">
        <f>HYPERLINK("https://12go.asia/en/travel/Bangsal-Pier/Nusa-Dua-Transfer", "12Go Link")</f>
        <v>12Go Link</v>
      </c>
      <c r="E6793" s="3" t="s">
        <v>6648</v>
      </c>
      <c r="K6793" s="5"/>
    </row>
    <row r="6794">
      <c r="A6794" s="3" t="s">
        <v>6675</v>
      </c>
      <c r="B6794" s="3" t="s">
        <v>6597</v>
      </c>
      <c r="C6794" s="3" t="s">
        <v>7015</v>
      </c>
      <c r="D6794" s="4" t="str">
        <f>HYPERLINK("https://12go.asia/en/travel/Bangsal-Pier/Seminyak-Transfer", "12Go Link")</f>
        <v>12Go Link</v>
      </c>
      <c r="E6794" s="3" t="s">
        <v>6648</v>
      </c>
      <c r="K6794" s="5"/>
    </row>
    <row r="6795">
      <c r="A6795" s="3" t="s">
        <v>6675</v>
      </c>
      <c r="B6795" s="3" t="s">
        <v>6597</v>
      </c>
      <c r="C6795" s="3" t="s">
        <v>7016</v>
      </c>
      <c r="D6795" s="4" t="str">
        <f>HYPERLINK("https://12go.asia/en/travel/Bangsal-Pier/Serangan-Pier-Gili-Getaway", "12Go Link")</f>
        <v>12Go Link</v>
      </c>
      <c r="E6795" s="3" t="s">
        <v>6648</v>
      </c>
      <c r="K6795" s="5"/>
    </row>
    <row r="6796">
      <c r="A6796" s="3" t="s">
        <v>6675</v>
      </c>
      <c r="B6796" s="3" t="s">
        <v>6597</v>
      </c>
      <c r="C6796" s="3" t="s">
        <v>7017</v>
      </c>
      <c r="D6796" s="4" t="str">
        <f>HYPERLINK("https://12go.asia/en/travel/Bangsal-Pier/Tanjung-Benoa-Transfer", "12Go Link")</f>
        <v>12Go Link</v>
      </c>
      <c r="E6796" s="3" t="s">
        <v>6648</v>
      </c>
      <c r="K6796" s="5"/>
    </row>
    <row r="6797">
      <c r="A6797" s="3" t="s">
        <v>6675</v>
      </c>
      <c r="B6797" s="3" t="s">
        <v>6597</v>
      </c>
      <c r="C6797" s="3" t="s">
        <v>7018</v>
      </c>
      <c r="D6797" s="4" t="str">
        <f>HYPERLINK("https://12go.asia/en/travel/Bangsal-Pier/Umalas-Transfer", "12Go Link")</f>
        <v>12Go Link</v>
      </c>
      <c r="E6797" s="3" t="s">
        <v>6648</v>
      </c>
      <c r="K6797" s="5"/>
    </row>
    <row r="6798">
      <c r="A6798" s="3" t="s">
        <v>6675</v>
      </c>
      <c r="B6798" s="3" t="s">
        <v>6597</v>
      </c>
      <c r="C6798" s="3" t="s">
        <v>7019</v>
      </c>
      <c r="D6798" s="4" t="str">
        <f>HYPERLINK("https://12go.asia/en/travel/Gili-Gede/Denpasar-Airport", "12Go Link")</f>
        <v>12Go Link</v>
      </c>
      <c r="E6798" s="3" t="s">
        <v>6648</v>
      </c>
      <c r="K6798" s="5"/>
    </row>
    <row r="6799">
      <c r="A6799" s="3" t="s">
        <v>6675</v>
      </c>
      <c r="B6799" s="3" t="s">
        <v>6597</v>
      </c>
      <c r="C6799" s="3" t="s">
        <v>7020</v>
      </c>
      <c r="D6799" s="4" t="str">
        <f>HYPERLINK("https://12go.asia/en/travel/Gili-Gede/Denpasar-Transfer", "12Go Link")</f>
        <v>12Go Link</v>
      </c>
      <c r="E6799" s="3" t="s">
        <v>6648</v>
      </c>
      <c r="K6799" s="5"/>
    </row>
    <row r="6800">
      <c r="A6800" s="3" t="s">
        <v>6675</v>
      </c>
      <c r="B6800" s="3" t="s">
        <v>6597</v>
      </c>
      <c r="C6800" s="3" t="s">
        <v>7021</v>
      </c>
      <c r="D6800" s="4" t="str">
        <f>HYPERLINK("https://12go.asia/en/travel/Gili-Gede/Jimbaran-Transfer", "12Go Link")</f>
        <v>12Go Link</v>
      </c>
      <c r="E6800" s="3" t="s">
        <v>6648</v>
      </c>
      <c r="K6800" s="5"/>
    </row>
    <row r="6801">
      <c r="A6801" s="3" t="s">
        <v>6675</v>
      </c>
      <c r="B6801" s="3" t="s">
        <v>6597</v>
      </c>
      <c r="C6801" s="3" t="s">
        <v>7022</v>
      </c>
      <c r="D6801" s="4" t="str">
        <f>HYPERLINK("https://12go.asia/en/travel/Gili-Gede/Kerobokan-Transfer", "12Go Link")</f>
        <v>12Go Link</v>
      </c>
      <c r="E6801" s="3" t="s">
        <v>6648</v>
      </c>
      <c r="K6801" s="5"/>
    </row>
    <row r="6802">
      <c r="A6802" s="3" t="s">
        <v>6675</v>
      </c>
      <c r="B6802" s="3" t="s">
        <v>6597</v>
      </c>
      <c r="C6802" s="3" t="s">
        <v>7023</v>
      </c>
      <c r="D6802" s="4" t="str">
        <f>HYPERLINK("https://12go.asia/en/travel/Gili-Gede/Kuta-Transfer", "12Go Link")</f>
        <v>12Go Link</v>
      </c>
      <c r="E6802" s="3" t="s">
        <v>6648</v>
      </c>
      <c r="K6802" s="5"/>
    </row>
    <row r="6803">
      <c r="A6803" s="3" t="s">
        <v>6675</v>
      </c>
      <c r="B6803" s="3" t="s">
        <v>6597</v>
      </c>
      <c r="C6803" s="3" t="s">
        <v>7024</v>
      </c>
      <c r="D6803" s="4" t="str">
        <f>HYPERLINK("https://12go.asia/en/travel/Gili-Gede/Legian-Transfer", "12Go Link")</f>
        <v>12Go Link</v>
      </c>
      <c r="E6803" s="3" t="s">
        <v>6648</v>
      </c>
      <c r="K6803" s="5"/>
    </row>
    <row r="6804">
      <c r="A6804" s="3" t="s">
        <v>6675</v>
      </c>
      <c r="B6804" s="3" t="s">
        <v>6597</v>
      </c>
      <c r="C6804" s="3" t="s">
        <v>7025</v>
      </c>
      <c r="D6804" s="4" t="str">
        <f>HYPERLINK("https://12go.asia/en/travel/Gili-Gede/Nusa-Dua-Transfer", "12Go Link")</f>
        <v>12Go Link</v>
      </c>
      <c r="E6804" s="3" t="s">
        <v>6648</v>
      </c>
      <c r="K6804" s="5"/>
    </row>
    <row r="6805">
      <c r="A6805" s="3" t="s">
        <v>6675</v>
      </c>
      <c r="B6805" s="3" t="s">
        <v>6597</v>
      </c>
      <c r="C6805" s="3" t="s">
        <v>7026</v>
      </c>
      <c r="D6805" s="4" t="str">
        <f>HYPERLINK("https://12go.asia/en/travel/Gili-Gede/Seminyak-Transfer", "12Go Link")</f>
        <v>12Go Link</v>
      </c>
      <c r="E6805" s="3" t="s">
        <v>6648</v>
      </c>
      <c r="K6805" s="5"/>
    </row>
    <row r="6806">
      <c r="A6806" s="3" t="s">
        <v>6675</v>
      </c>
      <c r="B6806" s="3" t="s">
        <v>6597</v>
      </c>
      <c r="C6806" s="3" t="s">
        <v>7027</v>
      </c>
      <c r="D6806" s="4" t="str">
        <f>HYPERLINK("https://12go.asia/en/travel/Gili-Gede/Serangan-Pier-Gili-Getaway", "12Go Link")</f>
        <v>12Go Link</v>
      </c>
      <c r="E6806" s="3" t="s">
        <v>6648</v>
      </c>
      <c r="K6806" s="5"/>
    </row>
    <row r="6807">
      <c r="A6807" s="3" t="s">
        <v>6675</v>
      </c>
      <c r="B6807" s="3" t="s">
        <v>6597</v>
      </c>
      <c r="C6807" s="3" t="s">
        <v>7028</v>
      </c>
      <c r="D6807" s="4" t="str">
        <f>HYPERLINK("https://12go.asia/en/travel/Gili-Gede/Tanjung-Benoa-Transfer", "12Go Link")</f>
        <v>12Go Link</v>
      </c>
      <c r="E6807" s="3" t="s">
        <v>6648</v>
      </c>
      <c r="K6807" s="5"/>
    </row>
    <row r="6808">
      <c r="A6808" s="3" t="s">
        <v>6675</v>
      </c>
      <c r="B6808" s="3" t="s">
        <v>6597</v>
      </c>
      <c r="C6808" s="3" t="s">
        <v>7029</v>
      </c>
      <c r="D6808" s="4" t="str">
        <f>HYPERLINK("https://12go.asia/en/travel/Gili-Gede/Umalas-Transfer", "12Go Link")</f>
        <v>12Go Link</v>
      </c>
      <c r="E6808" s="3" t="s">
        <v>6648</v>
      </c>
      <c r="K6808" s="5"/>
    </row>
    <row r="6809">
      <c r="A6809" s="3" t="s">
        <v>6675</v>
      </c>
      <c r="B6809" s="3" t="s">
        <v>6597</v>
      </c>
      <c r="C6809" s="3" t="s">
        <v>7030</v>
      </c>
      <c r="D6809" s="4" t="str">
        <f>HYPERLINK("https://12go.asia/en/travel/Senggigi-Pier/Padang-Bai-Pier", "12Go Link")</f>
        <v>12Go Link</v>
      </c>
      <c r="E6809" s="3" t="s">
        <v>6656</v>
      </c>
      <c r="K6809" s="5"/>
    </row>
    <row r="6810">
      <c r="A6810" s="3" t="s">
        <v>6675</v>
      </c>
      <c r="B6810" s="3" t="s">
        <v>6644</v>
      </c>
      <c r="C6810" s="3" t="s">
        <v>7031</v>
      </c>
      <c r="D6810" s="4" t="str">
        <f>HYPERLINK("https://12go.asia/en/travel/Bangsal-Pier/Happy-Chappy-Restaurant", "12Go Link")</f>
        <v>12Go Link</v>
      </c>
      <c r="E6810" s="3" t="s">
        <v>6648</v>
      </c>
      <c r="K6810" s="5"/>
    </row>
    <row r="6811">
      <c r="A6811" s="3" t="s">
        <v>6675</v>
      </c>
      <c r="B6811" s="3" t="s">
        <v>6644</v>
      </c>
      <c r="C6811" s="3" t="s">
        <v>7032</v>
      </c>
      <c r="D6811" s="4" t="str">
        <f>HYPERLINK("https://12go.asia/en/travel/Gili-Gede/Happy-Chappy-Restaurant", "12Go Link")</f>
        <v>12Go Link</v>
      </c>
      <c r="E6811" s="3" t="s">
        <v>6648</v>
      </c>
      <c r="K6811" s="5"/>
    </row>
    <row r="6812">
      <c r="A6812" s="3" t="s">
        <v>6675</v>
      </c>
      <c r="B6812" s="3" t="s">
        <v>6876</v>
      </c>
      <c r="C6812" s="3" t="s">
        <v>7033</v>
      </c>
      <c r="D6812" s="4" t="str">
        <f>HYPERLINK("https://12go.asia/en/travel/Bangsal-Pier/Gili-Air-Karya-Bahari", "12Go Link")</f>
        <v>12Go Link</v>
      </c>
      <c r="E6812" s="3" t="s">
        <v>6878</v>
      </c>
      <c r="K6812" s="5"/>
    </row>
    <row r="6813">
      <c r="A6813" s="3" t="s">
        <v>6675</v>
      </c>
      <c r="B6813" s="3" t="s">
        <v>6646</v>
      </c>
      <c r="C6813" s="3" t="s">
        <v>7034</v>
      </c>
      <c r="D6813" s="4" t="str">
        <f>HYPERLINK("https://12go.asia/en/travel/Bangsal-Pier/Gili-Meno", "12Go Link")</f>
        <v>12Go Link</v>
      </c>
      <c r="E6813" s="3" t="s">
        <v>6878</v>
      </c>
      <c r="K6813" s="5"/>
    </row>
    <row r="6814">
      <c r="A6814" s="3" t="s">
        <v>6675</v>
      </c>
      <c r="B6814" s="3" t="s">
        <v>6646</v>
      </c>
      <c r="C6814" s="3" t="s">
        <v>7035</v>
      </c>
      <c r="D6814" s="4" t="str">
        <f>HYPERLINK("https://12go.asia/en/travel/Bangsal-Pier/Gili-Trawangan-Port", "12Go Link")</f>
        <v>12Go Link</v>
      </c>
      <c r="E6814" s="3" t="s">
        <v>6878</v>
      </c>
      <c r="K6814" s="5"/>
    </row>
    <row r="6815">
      <c r="A6815" s="3" t="s">
        <v>6675</v>
      </c>
      <c r="B6815" s="3" t="s">
        <v>6708</v>
      </c>
      <c r="C6815" s="3" t="s">
        <v>7036</v>
      </c>
      <c r="D6815" s="4" t="str">
        <f>HYPERLINK("https://12go.asia/en/travel/Bangsal-Pier/Sanur-Transfer", "12Go Link")</f>
        <v>12Go Link</v>
      </c>
      <c r="E6815" s="3" t="s">
        <v>6648</v>
      </c>
      <c r="K6815" s="5"/>
    </row>
    <row r="6816">
      <c r="A6816" s="3" t="s">
        <v>6675</v>
      </c>
      <c r="B6816" s="3" t="s">
        <v>6708</v>
      </c>
      <c r="C6816" s="3" t="s">
        <v>7037</v>
      </c>
      <c r="D6816" s="4" t="str">
        <f>HYPERLINK("https://12go.asia/en/travel/Gili-Gede/Sanur-Transfer", "12Go Link")</f>
        <v>12Go Link</v>
      </c>
      <c r="E6816" s="3" t="s">
        <v>6648</v>
      </c>
      <c r="K6816" s="5"/>
    </row>
    <row r="6817">
      <c r="A6817" s="3" t="s">
        <v>6955</v>
      </c>
      <c r="B6817" s="3" t="s">
        <v>7038</v>
      </c>
      <c r="C6817" s="3" t="s">
        <v>7039</v>
      </c>
      <c r="D6817" s="4" t="str">
        <f>HYPERLINK("https://12go.asia/en/travel/makassar/tanjung-priok", "12Go Link")</f>
        <v>12Go Link</v>
      </c>
      <c r="E6817" s="3" t="s">
        <v>3568</v>
      </c>
      <c r="K6817" s="5"/>
    </row>
    <row r="6818">
      <c r="A6818" s="3" t="s">
        <v>6791</v>
      </c>
      <c r="B6818" s="3" t="s">
        <v>6831</v>
      </c>
      <c r="C6818" s="3" t="s">
        <v>7040</v>
      </c>
      <c r="D6818" s="4" t="str">
        <f>HYPERLINK("https://12go.asia/en/travel/martapura/i-gusti-ngurah-rai-international-airport", "12Go Link")</f>
        <v>12Go Link</v>
      </c>
      <c r="E6818" s="3" t="s">
        <v>3568</v>
      </c>
      <c r="K6818" s="5"/>
    </row>
    <row r="6819">
      <c r="A6819" s="3" t="s">
        <v>6751</v>
      </c>
      <c r="B6819" s="3" t="s">
        <v>6749</v>
      </c>
      <c r="C6819" s="3" t="s">
        <v>7041</v>
      </c>
      <c r="D6819" s="4" t="str">
        <f>HYPERLINK("https://12go.asia/en/travel/Terminal-Mengwi/Terminal-Bus-Kebumen", "12Go Link")</f>
        <v>12Go Link</v>
      </c>
      <c r="E6819" s="3" t="s">
        <v>6746</v>
      </c>
      <c r="K6819" s="5"/>
    </row>
    <row r="6820">
      <c r="A6820" s="3" t="s">
        <v>6751</v>
      </c>
      <c r="B6820" s="3" t="s">
        <v>6757</v>
      </c>
      <c r="C6820" s="3" t="s">
        <v>7042</v>
      </c>
      <c r="D6820" s="4" t="str">
        <f>HYPERLINK("https://12go.asia/en/travel/Terminal-Mengwi/Terminal-Purwokerto", "12Go Link")</f>
        <v>12Go Link</v>
      </c>
      <c r="E6820" s="3" t="s">
        <v>6746</v>
      </c>
      <c r="K6820" s="5"/>
    </row>
    <row r="6821">
      <c r="A6821" s="3" t="s">
        <v>6751</v>
      </c>
      <c r="B6821" s="3" t="s">
        <v>6759</v>
      </c>
      <c r="C6821" s="3" t="s">
        <v>7043</v>
      </c>
      <c r="D6821" s="4" t="str">
        <f>HYPERLINK("https://12go.asia/en/travel/Terminal-Mengwi/Terminal-Purabaya-Bungurasih", "12Go Link")</f>
        <v>12Go Link</v>
      </c>
      <c r="E6821" s="3" t="s">
        <v>6746</v>
      </c>
      <c r="K6821" s="5"/>
    </row>
    <row r="6822">
      <c r="A6822" s="3" t="s">
        <v>6751</v>
      </c>
      <c r="B6822" s="3" t="s">
        <v>6759</v>
      </c>
      <c r="C6822" s="3" t="s">
        <v>7044</v>
      </c>
      <c r="D6822" s="4" t="str">
        <f>HYPERLINK("https://12go.asia/en/travel/mengwi/surabaya", "12Go Link")</f>
        <v>12Go Link</v>
      </c>
      <c r="E6822" s="3" t="s">
        <v>3568</v>
      </c>
      <c r="K6822" s="5"/>
    </row>
    <row r="6823">
      <c r="A6823" s="3" t="s">
        <v>6751</v>
      </c>
      <c r="B6823" s="3" t="s">
        <v>6761</v>
      </c>
      <c r="C6823" s="3" t="s">
        <v>7045</v>
      </c>
      <c r="D6823" s="4" t="str">
        <f>HYPERLINK("https://12go.asia/en/travel/Terminal-Mengwi/Terminal-Tirtonadi", "12Go Link")</f>
        <v>12Go Link</v>
      </c>
      <c r="E6823" s="3" t="s">
        <v>6746</v>
      </c>
      <c r="K6823" s="5"/>
    </row>
    <row r="6824">
      <c r="A6824" s="3" t="s">
        <v>6751</v>
      </c>
      <c r="B6824" s="3" t="s">
        <v>6765</v>
      </c>
      <c r="C6824" s="3" t="s">
        <v>7046</v>
      </c>
      <c r="D6824" s="4" t="str">
        <f>HYPERLINK("https://12go.asia/en/travel/Terminal-Mengwi/Terminal-Giwangan-Yogyakarta", "12Go Link")</f>
        <v>12Go Link</v>
      </c>
      <c r="E6824" s="3" t="s">
        <v>6746</v>
      </c>
      <c r="K6824" s="5"/>
    </row>
    <row r="6825">
      <c r="A6825" s="3" t="s">
        <v>6751</v>
      </c>
      <c r="B6825" s="3" t="s">
        <v>6765</v>
      </c>
      <c r="C6825" s="3" t="s">
        <v>7047</v>
      </c>
      <c r="D6825" s="4" t="str">
        <f>HYPERLINK("https://12go.asia/en/travel/Terminal-Mengwi/Wisata-Komodo-Janti", "12Go Link")</f>
        <v>12Go Link</v>
      </c>
      <c r="E6825" s="3" t="s">
        <v>6746</v>
      </c>
      <c r="K6825" s="5"/>
    </row>
    <row r="6826">
      <c r="A6826" s="3" t="s">
        <v>6990</v>
      </c>
      <c r="B6826" s="3" t="s">
        <v>6768</v>
      </c>
      <c r="C6826" s="3" t="s">
        <v>7048</v>
      </c>
      <c r="D6826" s="4" t="str">
        <f>HYPERLINK("https://12go.asia/en/travel/natar/bekasi", "12Go Link")</f>
        <v>12Go Link</v>
      </c>
      <c r="E6826" s="3" t="s">
        <v>3568</v>
      </c>
      <c r="K6826" s="5"/>
    </row>
    <row r="6827">
      <c r="A6827" s="3" t="s">
        <v>6990</v>
      </c>
      <c r="B6827" s="3" t="s">
        <v>6986</v>
      </c>
      <c r="C6827" s="3" t="s">
        <v>7049</v>
      </c>
      <c r="D6827" s="4" t="str">
        <f t="shared" ref="D6827:D6828" si="383">HYPERLINK("https://12go.asia/en/travel/natar/jakarta", "12Go Link")</f>
        <v>12Go Link</v>
      </c>
      <c r="E6827" s="3" t="s">
        <v>3568</v>
      </c>
      <c r="K6827" s="5"/>
    </row>
    <row r="6828">
      <c r="A6828" s="3" t="s">
        <v>6990</v>
      </c>
      <c r="B6828" s="3" t="s">
        <v>6986</v>
      </c>
      <c r="C6828" s="3" t="s">
        <v>7049</v>
      </c>
      <c r="D6828" s="4" t="str">
        <f t="shared" si="383"/>
        <v>12Go Link</v>
      </c>
      <c r="E6828" s="3" t="s">
        <v>3568</v>
      </c>
      <c r="K6828" s="5"/>
    </row>
    <row r="6829">
      <c r="A6829" s="3" t="s">
        <v>6754</v>
      </c>
      <c r="B6829" s="3" t="s">
        <v>6749</v>
      </c>
      <c r="C6829" s="3" t="s">
        <v>7050</v>
      </c>
      <c r="D6829" s="4" t="str">
        <f>HYPERLINK("https://12go.asia/en/travel/Terminal-Baru-Negara/Terminal-Bus-Kebumen", "12Go Link")</f>
        <v>12Go Link</v>
      </c>
      <c r="E6829" s="3" t="s">
        <v>6746</v>
      </c>
      <c r="K6829" s="5"/>
    </row>
    <row r="6830">
      <c r="A6830" s="3" t="s">
        <v>6754</v>
      </c>
      <c r="B6830" s="3" t="s">
        <v>6757</v>
      </c>
      <c r="C6830" s="3" t="s">
        <v>7051</v>
      </c>
      <c r="D6830" s="4" t="str">
        <f>HYPERLINK("https://12go.asia/en/travel/Terminal-Baru-Negara/Terminal-Purwokerto", "12Go Link")</f>
        <v>12Go Link</v>
      </c>
      <c r="E6830" s="3" t="s">
        <v>6746</v>
      </c>
      <c r="K6830" s="5"/>
    </row>
    <row r="6831">
      <c r="A6831" s="3" t="s">
        <v>6754</v>
      </c>
      <c r="B6831" s="3" t="s">
        <v>6759</v>
      </c>
      <c r="C6831" s="3" t="s">
        <v>7052</v>
      </c>
      <c r="D6831" s="4" t="str">
        <f>HYPERLINK("https://12go.asia/en/travel/Terminal-Baru-Negara/Terminal-Purabaya-Bungurasih", "12Go Link")</f>
        <v>12Go Link</v>
      </c>
      <c r="E6831" s="3" t="s">
        <v>6746</v>
      </c>
      <c r="K6831" s="5"/>
    </row>
    <row r="6832">
      <c r="A6832" s="3" t="s">
        <v>6754</v>
      </c>
      <c r="B6832" s="3" t="s">
        <v>6761</v>
      </c>
      <c r="C6832" s="3" t="s">
        <v>7053</v>
      </c>
      <c r="D6832" s="4" t="str">
        <f>HYPERLINK("https://12go.asia/en/travel/Terminal-Baru-Negara/Terminal-Tirtonadi", "12Go Link")</f>
        <v>12Go Link</v>
      </c>
      <c r="E6832" s="3" t="s">
        <v>6746</v>
      </c>
      <c r="K6832" s="5"/>
    </row>
    <row r="6833">
      <c r="A6833" s="3" t="s">
        <v>6754</v>
      </c>
      <c r="B6833" s="3" t="s">
        <v>6765</v>
      </c>
      <c r="C6833" s="3" t="s">
        <v>7054</v>
      </c>
      <c r="D6833" s="4" t="str">
        <f>HYPERLINK("https://12go.asia/en/travel/Terminal-Baru-Negara/Terminal-Giwangan-Yogyakarta", "12Go Link")</f>
        <v>12Go Link</v>
      </c>
      <c r="E6833" s="3" t="s">
        <v>6746</v>
      </c>
      <c r="K6833" s="5"/>
    </row>
    <row r="6834">
      <c r="A6834" s="3" t="s">
        <v>6754</v>
      </c>
      <c r="B6834" s="3" t="s">
        <v>6765</v>
      </c>
      <c r="C6834" s="3" t="s">
        <v>7055</v>
      </c>
      <c r="D6834" s="4" t="str">
        <f>HYPERLINK("https://12go.asia/en/travel/Terminal-Baru-Negara/Wisata-Komodo-Janti", "12Go Link")</f>
        <v>12Go Link</v>
      </c>
      <c r="E6834" s="3" t="s">
        <v>6746</v>
      </c>
      <c r="K6834" s="5"/>
    </row>
    <row r="6835">
      <c r="A6835" s="3" t="s">
        <v>6793</v>
      </c>
      <c r="B6835" s="3" t="s">
        <v>7056</v>
      </c>
      <c r="C6835" s="3" t="s">
        <v>7057</v>
      </c>
      <c r="D6835" s="4" t="str">
        <f>HYPERLINK("https://12go.asia/en/travel/north-sulawesi/banten", "12Go Link")</f>
        <v>12Go Link</v>
      </c>
      <c r="E6835" s="3" t="s">
        <v>3568</v>
      </c>
      <c r="K6835" s="5"/>
    </row>
    <row r="6836">
      <c r="A6836" s="3" t="s">
        <v>7058</v>
      </c>
      <c r="B6836" s="3" t="s">
        <v>7059</v>
      </c>
      <c r="C6836" s="3" t="s">
        <v>7060</v>
      </c>
      <c r="D6836" s="4" t="str">
        <f>HYPERLINK("https://12go.asia/en/travel/nusa-ceningan/nusa-dua", "12Go Link")</f>
        <v>12Go Link</v>
      </c>
      <c r="E6836" s="3" t="s">
        <v>7061</v>
      </c>
      <c r="K6836" s="5"/>
    </row>
    <row r="6837">
      <c r="A6837" s="3" t="s">
        <v>7062</v>
      </c>
      <c r="B6837" s="3" t="s">
        <v>6597</v>
      </c>
      <c r="C6837" s="3" t="s">
        <v>7063</v>
      </c>
      <c r="D6837" s="4" t="str">
        <f>HYPERLINK("https://12go.asia/en/travel/Lembongan/Bangsal-Harbour", "12Go Link")</f>
        <v>12Go Link</v>
      </c>
      <c r="E6837" s="3" t="s">
        <v>6711</v>
      </c>
      <c r="K6837" s="5"/>
    </row>
    <row r="6838">
      <c r="A6838" s="3" t="s">
        <v>7062</v>
      </c>
      <c r="B6838" s="3" t="s">
        <v>6646</v>
      </c>
      <c r="C6838" s="3" t="s">
        <v>7064</v>
      </c>
      <c r="D6838" s="4" t="str">
        <f>HYPERLINK("https://12go.asia/en/travel/Lembongan/Gili-Air", "12Go Link")</f>
        <v>12Go Link</v>
      </c>
      <c r="E6838" s="3" t="s">
        <v>6711</v>
      </c>
      <c r="K6838" s="5"/>
    </row>
    <row r="6839">
      <c r="A6839" s="3" t="s">
        <v>7062</v>
      </c>
      <c r="B6839" s="3" t="s">
        <v>6660</v>
      </c>
      <c r="C6839" s="3" t="s">
        <v>7065</v>
      </c>
      <c r="D6839" s="4" t="str">
        <f>HYPERLINK("https://12go.asia/en/travel/Lembongan/Gili-Trawangan-Wijaya-Buyuk", "12Go Link")</f>
        <v>12Go Link</v>
      </c>
      <c r="E6839" s="3" t="s">
        <v>6711</v>
      </c>
      <c r="K6839" s="5"/>
    </row>
    <row r="6840">
      <c r="A6840" s="3" t="s">
        <v>6696</v>
      </c>
      <c r="B6840" s="3" t="s">
        <v>6597</v>
      </c>
      <c r="C6840" s="3" t="s">
        <v>7066</v>
      </c>
      <c r="D6840" s="4" t="str">
        <f>HYPERLINK("https://12go.asia/en/travel/Buyuk-Harbor/Denpasar-Airport", "12Go Link")</f>
        <v>12Go Link</v>
      </c>
      <c r="E6840" s="3" t="s">
        <v>6648</v>
      </c>
      <c r="K6840" s="5"/>
    </row>
    <row r="6841">
      <c r="A6841" s="3" t="s">
        <v>6696</v>
      </c>
      <c r="B6841" s="3" t="s">
        <v>6597</v>
      </c>
      <c r="C6841" s="3" t="s">
        <v>7067</v>
      </c>
      <c r="D6841" s="4" t="str">
        <f>HYPERLINK("https://12go.asia/en/travel/Buyuk-Harbor/Denpasar-Transfer", "12Go Link")</f>
        <v>12Go Link</v>
      </c>
      <c r="E6841" s="3" t="s">
        <v>6648</v>
      </c>
      <c r="K6841" s="5"/>
    </row>
    <row r="6842">
      <c r="A6842" s="3" t="s">
        <v>6696</v>
      </c>
      <c r="B6842" s="3" t="s">
        <v>6597</v>
      </c>
      <c r="C6842" s="3" t="s">
        <v>7068</v>
      </c>
      <c r="D6842" s="4" t="str">
        <f>HYPERLINK("https://12go.asia/en/travel/Buyuk-Harbor/Jimbaran-Transfer", "12Go Link")</f>
        <v>12Go Link</v>
      </c>
      <c r="E6842" s="3" t="s">
        <v>6648</v>
      </c>
      <c r="K6842" s="5"/>
    </row>
    <row r="6843">
      <c r="A6843" s="3" t="s">
        <v>6696</v>
      </c>
      <c r="B6843" s="3" t="s">
        <v>6597</v>
      </c>
      <c r="C6843" s="3" t="s">
        <v>7069</v>
      </c>
      <c r="D6843" s="4" t="str">
        <f>HYPERLINK("https://12go.asia/en/travel/Buyuk-Harbor/Kerobokan-Transfer", "12Go Link")</f>
        <v>12Go Link</v>
      </c>
      <c r="E6843" s="3" t="s">
        <v>6648</v>
      </c>
      <c r="K6843" s="5"/>
    </row>
    <row r="6844">
      <c r="A6844" s="3" t="s">
        <v>6696</v>
      </c>
      <c r="B6844" s="3" t="s">
        <v>6597</v>
      </c>
      <c r="C6844" s="3" t="s">
        <v>7070</v>
      </c>
      <c r="D6844" s="4" t="str">
        <f>HYPERLINK("https://12go.asia/en/travel/Buyuk-Harbor/Kuta-Transfer", "12Go Link")</f>
        <v>12Go Link</v>
      </c>
      <c r="E6844" s="3" t="s">
        <v>6648</v>
      </c>
      <c r="K6844" s="5"/>
    </row>
    <row r="6845">
      <c r="A6845" s="3" t="s">
        <v>6696</v>
      </c>
      <c r="B6845" s="3" t="s">
        <v>6597</v>
      </c>
      <c r="C6845" s="3" t="s">
        <v>7071</v>
      </c>
      <c r="D6845" s="4" t="str">
        <f>HYPERLINK("https://12go.asia/en/travel/Buyuk-Harbor/Legian-Transfer", "12Go Link")</f>
        <v>12Go Link</v>
      </c>
      <c r="E6845" s="3" t="s">
        <v>6648</v>
      </c>
      <c r="K6845" s="5"/>
    </row>
    <row r="6846">
      <c r="A6846" s="3" t="s">
        <v>6696</v>
      </c>
      <c r="B6846" s="3" t="s">
        <v>6597</v>
      </c>
      <c r="C6846" s="3" t="s">
        <v>7072</v>
      </c>
      <c r="D6846" s="4" t="str">
        <f>HYPERLINK("https://12go.asia/en/travel/Buyuk-Harbor/Nusa-Dua-Transfer", "12Go Link")</f>
        <v>12Go Link</v>
      </c>
      <c r="E6846" s="3" t="s">
        <v>6648</v>
      </c>
      <c r="K6846" s="5"/>
    </row>
    <row r="6847">
      <c r="A6847" s="3" t="s">
        <v>6696</v>
      </c>
      <c r="B6847" s="3" t="s">
        <v>6597</v>
      </c>
      <c r="C6847" s="3" t="s">
        <v>7073</v>
      </c>
      <c r="D6847" s="4" t="str">
        <f>HYPERLINK("https://12go.asia/en/travel/Buyuk-Harbor/Seminyak-Transfer", "12Go Link")</f>
        <v>12Go Link</v>
      </c>
      <c r="E6847" s="3" t="s">
        <v>6648</v>
      </c>
      <c r="K6847" s="5"/>
    </row>
    <row r="6848">
      <c r="A6848" s="3" t="s">
        <v>6696</v>
      </c>
      <c r="B6848" s="3" t="s">
        <v>6597</v>
      </c>
      <c r="C6848" s="3" t="s">
        <v>7074</v>
      </c>
      <c r="D6848" s="4" t="str">
        <f>HYPERLINK("https://12go.asia/en/travel/Buyuk-Harbor/Tanjung-Benoa-Transfer", "12Go Link")</f>
        <v>12Go Link</v>
      </c>
      <c r="E6848" s="3" t="s">
        <v>6648</v>
      </c>
      <c r="K6848" s="5"/>
    </row>
    <row r="6849">
      <c r="A6849" s="3" t="s">
        <v>6696</v>
      </c>
      <c r="B6849" s="3" t="s">
        <v>6597</v>
      </c>
      <c r="C6849" s="3" t="s">
        <v>7075</v>
      </c>
      <c r="D6849" s="4" t="str">
        <f>HYPERLINK("https://12go.asia/en/travel/Buyuk-Harbor/Umalas-Transfer", "12Go Link")</f>
        <v>12Go Link</v>
      </c>
      <c r="E6849" s="3" t="s">
        <v>6648</v>
      </c>
      <c r="K6849" s="5"/>
    </row>
    <row r="6850">
      <c r="A6850" s="3" t="s">
        <v>6696</v>
      </c>
      <c r="B6850" s="3" t="s">
        <v>6644</v>
      </c>
      <c r="C6850" s="3" t="s">
        <v>7076</v>
      </c>
      <c r="D6850" s="4" t="str">
        <f>HYPERLINK("https://12go.asia/en/travel/Buyuk-Harbor/Happy-Chappy-Restaurant", "12Go Link")</f>
        <v>12Go Link</v>
      </c>
      <c r="E6850" s="3" t="s">
        <v>6648</v>
      </c>
      <c r="K6850" s="5"/>
    </row>
    <row r="6851">
      <c r="A6851" s="3" t="s">
        <v>6696</v>
      </c>
      <c r="B6851" s="3" t="s">
        <v>6708</v>
      </c>
      <c r="C6851" s="3" t="s">
        <v>7077</v>
      </c>
      <c r="D6851" s="4" t="str">
        <f>HYPERLINK("https://12go.asia/en/travel/Buyuk-Harbor/Sanur-Transfer", "12Go Link")</f>
        <v>12Go Link</v>
      </c>
      <c r="E6851" s="3" t="s">
        <v>6648</v>
      </c>
      <c r="K6851" s="5"/>
    </row>
    <row r="6852">
      <c r="A6852" s="3" t="s">
        <v>6958</v>
      </c>
      <c r="B6852" s="3" t="s">
        <v>6744</v>
      </c>
      <c r="C6852" s="3" t="s">
        <v>7078</v>
      </c>
      <c r="D6852" s="4" t="str">
        <f>HYPERLINK("https://12go.asia/en/travel/Stasiun-Bangil/Kantor-Wisata-Komodo", "12Go Link")</f>
        <v>12Go Link</v>
      </c>
      <c r="E6852" s="3" t="s">
        <v>6746</v>
      </c>
      <c r="K6852" s="5"/>
    </row>
    <row r="6853">
      <c r="A6853" s="3" t="s">
        <v>6958</v>
      </c>
      <c r="B6853" s="3" t="s">
        <v>6747</v>
      </c>
      <c r="C6853" s="3" t="s">
        <v>7079</v>
      </c>
      <c r="D6853" s="4" t="str">
        <f>HYPERLINK("https://12go.asia/en/travel/Stasiun-Bangil/Kantor-Wisata-Komodo-Gilimanuk", "12Go Link")</f>
        <v>12Go Link</v>
      </c>
      <c r="E6853" s="3" t="s">
        <v>6746</v>
      </c>
      <c r="K6853" s="5"/>
    </row>
    <row r="6854">
      <c r="A6854" s="3" t="s">
        <v>6958</v>
      </c>
      <c r="B6854" s="3" t="s">
        <v>6831</v>
      </c>
      <c r="C6854" s="3" t="s">
        <v>7080</v>
      </c>
      <c r="D6854" s="4" t="str">
        <f>HYPERLINK("https://12go.asia/en/travel/pasuruan/i-gusti-ngurah-rai-international-airport", "12Go Link")</f>
        <v>12Go Link</v>
      </c>
      <c r="E6854" s="3" t="s">
        <v>3568</v>
      </c>
      <c r="K6854" s="5"/>
    </row>
    <row r="6855">
      <c r="A6855" s="3" t="s">
        <v>6958</v>
      </c>
      <c r="B6855" s="3" t="s">
        <v>6751</v>
      </c>
      <c r="C6855" s="3" t="s">
        <v>7081</v>
      </c>
      <c r="D6855" s="4" t="str">
        <f>HYPERLINK("https://12go.asia/en/travel/Stasiun-Bangil/Kapal", "12Go Link")</f>
        <v>12Go Link</v>
      </c>
      <c r="E6855" s="3" t="s">
        <v>6746</v>
      </c>
      <c r="K6855" s="5"/>
    </row>
    <row r="6856">
      <c r="A6856" s="3" t="s">
        <v>6958</v>
      </c>
      <c r="B6856" s="3" t="s">
        <v>6751</v>
      </c>
      <c r="C6856" s="3" t="s">
        <v>7082</v>
      </c>
      <c r="D6856" s="4" t="str">
        <f>HYPERLINK("https://12go.asia/en/travel/Stasiun-Bangil/Terminal-Mengwi", "12Go Link")</f>
        <v>12Go Link</v>
      </c>
      <c r="E6856" s="3" t="s">
        <v>6746</v>
      </c>
      <c r="K6856" s="5"/>
    </row>
    <row r="6857">
      <c r="A6857" s="3" t="s">
        <v>6958</v>
      </c>
      <c r="B6857" s="3" t="s">
        <v>6754</v>
      </c>
      <c r="C6857" s="3" t="s">
        <v>7083</v>
      </c>
      <c r="D6857" s="4" t="str">
        <f>HYPERLINK("https://12go.asia/en/travel/Stasiun-Bangil/Alun-Alun-Kota-Negara", "12Go Link")</f>
        <v>12Go Link</v>
      </c>
      <c r="E6857" s="3" t="s">
        <v>6746</v>
      </c>
      <c r="K6857" s="5"/>
    </row>
    <row r="6858">
      <c r="A6858" s="3" t="s">
        <v>6958</v>
      </c>
      <c r="B6858" s="3" t="s">
        <v>6754</v>
      </c>
      <c r="C6858" s="3" t="s">
        <v>7084</v>
      </c>
      <c r="D6858" s="4" t="str">
        <f>HYPERLINK("https://12go.asia/en/travel/Stasiun-Bangil/Terminal-Baru-Negara", "12Go Link")</f>
        <v>12Go Link</v>
      </c>
      <c r="E6858" s="3" t="s">
        <v>6746</v>
      </c>
      <c r="K6858" s="5"/>
    </row>
    <row r="6859">
      <c r="A6859" s="3" t="s">
        <v>6958</v>
      </c>
      <c r="B6859" s="3" t="s">
        <v>6763</v>
      </c>
      <c r="C6859" s="3" t="s">
        <v>7085</v>
      </c>
      <c r="D6859" s="4" t="str">
        <f>HYPERLINK("https://12go.asia/en/travel/Stasiun-Bangil/Terminal-Pesiapan", "12Go Link")</f>
        <v>12Go Link</v>
      </c>
      <c r="E6859" s="3" t="s">
        <v>6746</v>
      </c>
      <c r="K6859" s="5"/>
    </row>
    <row r="6860">
      <c r="A6860" s="3" t="s">
        <v>6757</v>
      </c>
      <c r="B6860" s="3" t="s">
        <v>6743</v>
      </c>
      <c r="C6860" s="3" t="s">
        <v>7086</v>
      </c>
      <c r="D6860" s="4" t="str">
        <f>HYPERLINK("https://12go.asia/en/travel/Terminal-Purwokerto/Pelabuhan-Ketapang", "12Go Link")</f>
        <v>12Go Link</v>
      </c>
      <c r="E6860" s="3" t="s">
        <v>6746</v>
      </c>
      <c r="K6860" s="5"/>
    </row>
    <row r="6861">
      <c r="A6861" s="3" t="s">
        <v>6757</v>
      </c>
      <c r="B6861" s="3" t="s">
        <v>6744</v>
      </c>
      <c r="C6861" s="3" t="s">
        <v>7087</v>
      </c>
      <c r="D6861" s="4" t="str">
        <f>HYPERLINK("https://12go.asia/en/travel/Terminal-Purwokerto/Kantor-Wisata-Komodo", "12Go Link")</f>
        <v>12Go Link</v>
      </c>
      <c r="E6861" s="3" t="s">
        <v>6746</v>
      </c>
      <c r="K6861" s="5"/>
    </row>
    <row r="6862">
      <c r="A6862" s="3" t="s">
        <v>6757</v>
      </c>
      <c r="B6862" s="3" t="s">
        <v>6747</v>
      </c>
      <c r="C6862" s="3" t="s">
        <v>7088</v>
      </c>
      <c r="D6862" s="4" t="str">
        <f>HYPERLINK("https://12go.asia/en/travel/Terminal-Purwokerto/Kantor-Wisata-Komodo-Gilimanuk", "12Go Link")</f>
        <v>12Go Link</v>
      </c>
      <c r="E6862" s="3" t="s">
        <v>6746</v>
      </c>
      <c r="K6862" s="5"/>
    </row>
    <row r="6863">
      <c r="A6863" s="3" t="s">
        <v>6757</v>
      </c>
      <c r="B6863" s="3" t="s">
        <v>6751</v>
      </c>
      <c r="C6863" s="3" t="s">
        <v>7089</v>
      </c>
      <c r="D6863" s="4" t="str">
        <f>HYPERLINK("https://12go.asia/en/travel/Terminal-Purwokerto/Terminal-Mengwi", "12Go Link")</f>
        <v>12Go Link</v>
      </c>
      <c r="E6863" s="3" t="s">
        <v>6746</v>
      </c>
      <c r="K6863" s="5"/>
    </row>
    <row r="6864">
      <c r="A6864" s="3" t="s">
        <v>6757</v>
      </c>
      <c r="B6864" s="3" t="s">
        <v>6754</v>
      </c>
      <c r="C6864" s="3" t="s">
        <v>7090</v>
      </c>
      <c r="D6864" s="4" t="str">
        <f>HYPERLINK("https://12go.asia/en/travel/Terminal-Purwokerto/Terminal-Baru-Negara", "12Go Link")</f>
        <v>12Go Link</v>
      </c>
      <c r="E6864" s="3" t="s">
        <v>6746</v>
      </c>
      <c r="K6864" s="5"/>
    </row>
    <row r="6865">
      <c r="A6865" s="3" t="s">
        <v>6757</v>
      </c>
      <c r="B6865" s="3" t="s">
        <v>6763</v>
      </c>
      <c r="C6865" s="3" t="s">
        <v>7091</v>
      </c>
      <c r="D6865" s="4" t="str">
        <f>HYPERLINK("https://12go.asia/en/travel/Terminal-Purwokerto/Terminal-Pesiapan", "12Go Link")</f>
        <v>12Go Link</v>
      </c>
      <c r="E6865" s="3" t="s">
        <v>6746</v>
      </c>
      <c r="K6865" s="5"/>
    </row>
    <row r="6866">
      <c r="A6866" s="3" t="s">
        <v>6961</v>
      </c>
      <c r="B6866" s="3" t="s">
        <v>6831</v>
      </c>
      <c r="C6866" s="3" t="s">
        <v>7092</v>
      </c>
      <c r="D6866" s="4" t="str">
        <f>HYPERLINK("https://12go.asia/en/travel/rinca/i-gusti-ngurah-rai-international-airport", "12Go Link")</f>
        <v>12Go Link</v>
      </c>
      <c r="E6866" s="3" t="s">
        <v>3568</v>
      </c>
      <c r="K6866" s="5"/>
    </row>
    <row r="6867">
      <c r="A6867" s="3" t="s">
        <v>7093</v>
      </c>
      <c r="B6867" s="3" t="s">
        <v>7056</v>
      </c>
      <c r="C6867" s="3" t="s">
        <v>7094</v>
      </c>
      <c r="D6867" s="4" t="str">
        <f>HYPERLINK("https://12go.asia/en/travel/salatiga/banten", "12Go Link")</f>
        <v>12Go Link</v>
      </c>
      <c r="E6867" s="3" t="s">
        <v>3568</v>
      </c>
      <c r="K6867" s="5"/>
    </row>
    <row r="6868">
      <c r="A6868" s="3" t="s">
        <v>6708</v>
      </c>
      <c r="B6868" s="3" t="s">
        <v>6597</v>
      </c>
      <c r="C6868" s="3" t="s">
        <v>7095</v>
      </c>
      <c r="D6868" s="4" t="str">
        <f>HYPERLINK("https://12go.asia/en/travel/Sanur-Transfer/Amed-Transfer", "12Go Link")</f>
        <v>12Go Link</v>
      </c>
      <c r="E6868" s="3" t="s">
        <v>7096</v>
      </c>
      <c r="K6868" s="5"/>
    </row>
    <row r="6869">
      <c r="A6869" s="3" t="s">
        <v>6708</v>
      </c>
      <c r="B6869" s="3" t="s">
        <v>6597</v>
      </c>
      <c r="C6869" s="3" t="s">
        <v>7097</v>
      </c>
      <c r="D6869" s="4" t="str">
        <f>HYPERLINK("https://12go.asia/en/travel/Sanur-Transfer/Candidasa-Transfer", "12Go Link")</f>
        <v>12Go Link</v>
      </c>
      <c r="E6869" s="3" t="s">
        <v>7096</v>
      </c>
      <c r="K6869" s="5"/>
    </row>
    <row r="6870">
      <c r="A6870" s="3" t="s">
        <v>6708</v>
      </c>
      <c r="B6870" s="3" t="s">
        <v>6597</v>
      </c>
      <c r="C6870" s="3" t="s">
        <v>7098</v>
      </c>
      <c r="D6870" s="4" t="str">
        <f>HYPERLINK("https://12go.asia/en/travel/Sanur-Transfer/Canggu-Transfer", "12Go Link")</f>
        <v>12Go Link</v>
      </c>
      <c r="E6870" s="3" t="s">
        <v>7096</v>
      </c>
      <c r="K6870" s="5"/>
    </row>
    <row r="6871">
      <c r="A6871" s="3" t="s">
        <v>6708</v>
      </c>
      <c r="B6871" s="3" t="s">
        <v>6597</v>
      </c>
      <c r="C6871" s="3" t="s">
        <v>7099</v>
      </c>
      <c r="D6871" s="4" t="str">
        <f>HYPERLINK("https://12go.asia/en/travel/Sanur-Transfer/Jimbaran-Transfer", "12Go Link")</f>
        <v>12Go Link</v>
      </c>
      <c r="E6871" s="3" t="s">
        <v>7096</v>
      </c>
      <c r="K6871" s="5"/>
    </row>
    <row r="6872">
      <c r="A6872" s="3" t="s">
        <v>6708</v>
      </c>
      <c r="B6872" s="3" t="s">
        <v>6597</v>
      </c>
      <c r="C6872" s="3" t="s">
        <v>7100</v>
      </c>
      <c r="D6872" s="4" t="str">
        <f>HYPERLINK("https://12go.asia/en/travel/Sanur-Transfer/Kuta-Transfer", "12Go Link")</f>
        <v>12Go Link</v>
      </c>
      <c r="E6872" s="3" t="s">
        <v>7096</v>
      </c>
      <c r="K6872" s="5"/>
    </row>
    <row r="6873">
      <c r="A6873" s="3" t="s">
        <v>6708</v>
      </c>
      <c r="B6873" s="3" t="s">
        <v>6597</v>
      </c>
      <c r="C6873" s="3" t="s">
        <v>7101</v>
      </c>
      <c r="D6873" s="4" t="str">
        <f>HYPERLINK("https://12go.asia/en/travel/Sanur-Transfer/Lovina", "12Go Link")</f>
        <v>12Go Link</v>
      </c>
      <c r="E6873" s="3" t="s">
        <v>7096</v>
      </c>
      <c r="K6873" s="5"/>
    </row>
    <row r="6874">
      <c r="A6874" s="3" t="s">
        <v>6708</v>
      </c>
      <c r="B6874" s="3" t="s">
        <v>6597</v>
      </c>
      <c r="C6874" s="3" t="s">
        <v>7102</v>
      </c>
      <c r="D6874" s="4" t="str">
        <f>HYPERLINK("https://12go.asia/en/travel/Sanur-Transfer/Nusa-Dua-Transfer", "12Go Link")</f>
        <v>12Go Link</v>
      </c>
      <c r="E6874" s="3" t="s">
        <v>7096</v>
      </c>
      <c r="K6874" s="5"/>
    </row>
    <row r="6875">
      <c r="A6875" s="3" t="s">
        <v>6708</v>
      </c>
      <c r="B6875" s="3" t="s">
        <v>6597</v>
      </c>
      <c r="C6875" s="3" t="s">
        <v>7103</v>
      </c>
      <c r="D6875" s="4" t="str">
        <f>HYPERLINK("https://12go.asia/en/travel/Sanur-Transfer/Padang-Bai-Port", "12Go Link")</f>
        <v>12Go Link</v>
      </c>
      <c r="E6875" s="3" t="s">
        <v>6599</v>
      </c>
      <c r="K6875" s="5"/>
    </row>
    <row r="6876">
      <c r="A6876" s="3" t="s">
        <v>6708</v>
      </c>
      <c r="B6876" s="3" t="s">
        <v>6597</v>
      </c>
      <c r="C6876" s="3" t="s">
        <v>7104</v>
      </c>
      <c r="D6876" s="4" t="str">
        <f>HYPERLINK("https://12go.asia/en/travel/Sanur-Transfer/Pecatu-Transfer", "12Go Link")</f>
        <v>12Go Link</v>
      </c>
      <c r="E6876" s="3" t="s">
        <v>7096</v>
      </c>
      <c r="K6876" s="5"/>
    </row>
    <row r="6877">
      <c r="A6877" s="3" t="s">
        <v>6708</v>
      </c>
      <c r="B6877" s="3" t="s">
        <v>6597</v>
      </c>
      <c r="C6877" s="3" t="s">
        <v>7105</v>
      </c>
      <c r="D6877" s="4" t="str">
        <f>HYPERLINK("https://12go.asia/en/travel/Sanur-Transfer/Pemuteran-Transfer", "12Go Link")</f>
        <v>12Go Link</v>
      </c>
      <c r="E6877" s="3" t="s">
        <v>7096</v>
      </c>
      <c r="K6877" s="5"/>
    </row>
    <row r="6878">
      <c r="A6878" s="3" t="s">
        <v>6708</v>
      </c>
      <c r="B6878" s="3" t="s">
        <v>6597</v>
      </c>
      <c r="C6878" s="3" t="s">
        <v>7106</v>
      </c>
      <c r="D6878" s="4" t="str">
        <f>HYPERLINK("https://12go.asia/en/travel/Sanur-Transfer/Seminyak-Transfer", "12Go Link")</f>
        <v>12Go Link</v>
      </c>
      <c r="E6878" s="3" t="s">
        <v>7096</v>
      </c>
      <c r="K6878" s="5"/>
    </row>
    <row r="6879">
      <c r="A6879" s="3" t="s">
        <v>6708</v>
      </c>
      <c r="B6879" s="3" t="s">
        <v>6597</v>
      </c>
      <c r="C6879" s="3" t="s">
        <v>7107</v>
      </c>
      <c r="D6879" s="4" t="str">
        <f>HYPERLINK("https://12go.asia/en/travel/Sanur-Transfer/Tulamben-Transfer", "12Go Link")</f>
        <v>12Go Link</v>
      </c>
      <c r="E6879" s="3" t="s">
        <v>7096</v>
      </c>
      <c r="K6879" s="5"/>
    </row>
    <row r="6880">
      <c r="A6880" s="3" t="s">
        <v>6708</v>
      </c>
      <c r="B6880" s="3" t="s">
        <v>6597</v>
      </c>
      <c r="C6880" s="3" t="s">
        <v>7108</v>
      </c>
      <c r="D6880" s="4" t="str">
        <f>HYPERLINK("https://12go.asia/en/travel/Sanur-Transfer/Uluwatu-Transfer", "12Go Link")</f>
        <v>12Go Link</v>
      </c>
      <c r="E6880" s="3" t="s">
        <v>7096</v>
      </c>
      <c r="K6880" s="5"/>
    </row>
    <row r="6881">
      <c r="A6881" s="3" t="s">
        <v>6708</v>
      </c>
      <c r="B6881" s="3" t="s">
        <v>6597</v>
      </c>
      <c r="C6881" s="3" t="s">
        <v>7109</v>
      </c>
      <c r="D6881" s="4" t="str">
        <f>HYPERLINK("https://12go.asia/en/travel/Sanur-Wijaya-Buyuk/Bangsal-Harbour", "12Go Link")</f>
        <v>12Go Link</v>
      </c>
      <c r="E6881" s="3" t="s">
        <v>6711</v>
      </c>
      <c r="K6881" s="5"/>
    </row>
    <row r="6882">
      <c r="A6882" s="3" t="s">
        <v>6708</v>
      </c>
      <c r="B6882" s="3" t="s">
        <v>6646</v>
      </c>
      <c r="C6882" s="3" t="s">
        <v>7110</v>
      </c>
      <c r="D6882" s="4" t="str">
        <f>HYPERLINK("https://12go.asia/en/travel/Sanur-Transfer/Gili-Air", "12Go Link")</f>
        <v>12Go Link</v>
      </c>
      <c r="E6882" s="3" t="s">
        <v>6648</v>
      </c>
      <c r="K6882" s="5"/>
    </row>
    <row r="6883">
      <c r="A6883" s="3" t="s">
        <v>6708</v>
      </c>
      <c r="B6883" s="3" t="s">
        <v>6646</v>
      </c>
      <c r="C6883" s="3" t="s">
        <v>7111</v>
      </c>
      <c r="D6883" s="4" t="str">
        <f>HYPERLINK("https://12go.asia/en/travel/Sanur-Wijaya-Buyuk/Gili-Air", "12Go Link")</f>
        <v>12Go Link</v>
      </c>
      <c r="E6883" s="3" t="s">
        <v>6711</v>
      </c>
      <c r="K6883" s="5"/>
    </row>
    <row r="6884">
      <c r="A6884" s="3" t="s">
        <v>6708</v>
      </c>
      <c r="B6884" s="3" t="s">
        <v>6660</v>
      </c>
      <c r="C6884" s="3" t="s">
        <v>7112</v>
      </c>
      <c r="D6884" s="4" t="str">
        <f>HYPERLINK("https://12go.asia/en/travel/Sanur-Transfer/Gili-Trawangan-Gili-Getaway", "12Go Link")</f>
        <v>12Go Link</v>
      </c>
      <c r="E6884" s="3" t="s">
        <v>6648</v>
      </c>
      <c r="K6884" s="5"/>
    </row>
    <row r="6885">
      <c r="A6885" s="3" t="s">
        <v>6708</v>
      </c>
      <c r="B6885" s="3" t="s">
        <v>6660</v>
      </c>
      <c r="C6885" s="3" t="s">
        <v>7113</v>
      </c>
      <c r="D6885" s="4" t="str">
        <f>HYPERLINK("https://12go.asia/en/travel/Sanur-Wijaya-Buyuk/Gili-Trawangan-Wijaya-Buyuk", "12Go Link")</f>
        <v>12Go Link</v>
      </c>
      <c r="E6885" s="3" t="s">
        <v>6711</v>
      </c>
      <c r="K6885" s="5"/>
    </row>
    <row r="6886">
      <c r="A6886" s="3" t="s">
        <v>6708</v>
      </c>
      <c r="B6886" s="3" t="s">
        <v>6671</v>
      </c>
      <c r="C6886" s="3" t="s">
        <v>7114</v>
      </c>
      <c r="D6886" s="4" t="str">
        <f>HYPERLINK("https://12go.asia/en/travel/Sanur-Transfer/Kintamani-Transfer", "12Go Link")</f>
        <v>12Go Link</v>
      </c>
      <c r="E6886" s="3" t="s">
        <v>7096</v>
      </c>
      <c r="K6886" s="5"/>
    </row>
    <row r="6887">
      <c r="A6887" s="3" t="s">
        <v>6708</v>
      </c>
      <c r="B6887" s="3" t="s">
        <v>6675</v>
      </c>
      <c r="C6887" s="3" t="s">
        <v>7115</v>
      </c>
      <c r="D6887" s="4" t="str">
        <f>HYPERLINK("https://12go.asia/en/travel/Sanur-Transfer/Bangsal-Pier", "12Go Link")</f>
        <v>12Go Link</v>
      </c>
      <c r="E6887" s="3" t="s">
        <v>6648</v>
      </c>
      <c r="K6887" s="5"/>
    </row>
    <row r="6888">
      <c r="A6888" s="3" t="s">
        <v>6708</v>
      </c>
      <c r="B6888" s="3" t="s">
        <v>6675</v>
      </c>
      <c r="C6888" s="3" t="s">
        <v>7116</v>
      </c>
      <c r="D6888" s="4" t="str">
        <f>HYPERLINK("https://12go.asia/en/travel/Sanur-Transfer/Gili-Gede", "12Go Link")</f>
        <v>12Go Link</v>
      </c>
      <c r="E6888" s="3" t="s">
        <v>6648</v>
      </c>
      <c r="K6888" s="5"/>
    </row>
    <row r="6889">
      <c r="A6889" s="3" t="s">
        <v>6708</v>
      </c>
      <c r="B6889" s="3" t="s">
        <v>6696</v>
      </c>
      <c r="C6889" s="3" t="s">
        <v>7117</v>
      </c>
      <c r="D6889" s="4" t="str">
        <f>HYPERLINK("https://12go.asia/en/travel/Sanur-Transfer/Buyuk-Harbor", "12Go Link")</f>
        <v>12Go Link</v>
      </c>
      <c r="E6889" s="3" t="s">
        <v>6648</v>
      </c>
      <c r="K6889" s="5"/>
    </row>
    <row r="6890">
      <c r="A6890" s="3" t="s">
        <v>6708</v>
      </c>
      <c r="B6890" s="3" t="s">
        <v>6724</v>
      </c>
      <c r="C6890" s="3" t="s">
        <v>7118</v>
      </c>
      <c r="D6890" s="4" t="str">
        <f t="shared" ref="D6890:D6891" si="384">HYPERLINK("https://12go.asia/en/travel/Sanur-Transfer/Ubud-Transfer", "12Go Link")</f>
        <v>12Go Link</v>
      </c>
      <c r="E6890" s="3" t="s">
        <v>7096</v>
      </c>
      <c r="K6890" s="5"/>
    </row>
    <row r="6891">
      <c r="A6891" s="3" t="s">
        <v>6708</v>
      </c>
      <c r="B6891" s="3" t="s">
        <v>6724</v>
      </c>
      <c r="C6891" s="3" t="s">
        <v>7118</v>
      </c>
      <c r="D6891" s="4" t="str">
        <f t="shared" si="384"/>
        <v>12Go Link</v>
      </c>
      <c r="E6891" s="3" t="s">
        <v>6599</v>
      </c>
      <c r="K6891" s="5"/>
    </row>
    <row r="6892">
      <c r="A6892" s="3" t="s">
        <v>7119</v>
      </c>
      <c r="B6892" s="3" t="s">
        <v>7120</v>
      </c>
      <c r="C6892" s="3" t="s">
        <v>7121</v>
      </c>
      <c r="D6892" s="4" t="str">
        <f>HYPERLINK("https://12go.asia/en/travel/singaraja/bogor", "12Go Link")</f>
        <v>12Go Link</v>
      </c>
      <c r="E6892" s="3" t="s">
        <v>3568</v>
      </c>
      <c r="K6892" s="5"/>
    </row>
    <row r="6893">
      <c r="A6893" s="3" t="s">
        <v>7122</v>
      </c>
      <c r="B6893" s="3" t="s">
        <v>6842</v>
      </c>
      <c r="C6893" s="3" t="s">
        <v>7123</v>
      </c>
      <c r="D6893" s="4" t="str">
        <f>HYPERLINK("https://12go.asia/en/travel/sleman/jakarta-airport", "12Go Link")</f>
        <v>12Go Link</v>
      </c>
      <c r="E6893" s="3" t="s">
        <v>3568</v>
      </c>
      <c r="K6893" s="5"/>
    </row>
    <row r="6894">
      <c r="A6894" s="3" t="s">
        <v>6759</v>
      </c>
      <c r="B6894" s="3" t="s">
        <v>6744</v>
      </c>
      <c r="C6894" s="3" t="s">
        <v>7124</v>
      </c>
      <c r="D6894" s="4" t="str">
        <f>HYPERLINK("https://12go.asia/en/travel/Terminal-Purabaya-Bungurasih/Kantor-Wisata-Komodo", "12Go Link")</f>
        <v>12Go Link</v>
      </c>
      <c r="E6894" s="3" t="s">
        <v>6746</v>
      </c>
      <c r="K6894" s="5"/>
    </row>
    <row r="6895">
      <c r="A6895" s="3" t="s">
        <v>6759</v>
      </c>
      <c r="B6895" s="3" t="s">
        <v>6747</v>
      </c>
      <c r="C6895" s="3" t="s">
        <v>7125</v>
      </c>
      <c r="D6895" s="4" t="str">
        <f>HYPERLINK("https://12go.asia/en/travel/Terminal-Purabaya-Bungurasih/Kantor-Wisata-Komodo-Gilimanuk", "12Go Link")</f>
        <v>12Go Link</v>
      </c>
      <c r="E6895" s="3" t="s">
        <v>6746</v>
      </c>
      <c r="K6895" s="5"/>
    </row>
    <row r="6896">
      <c r="A6896" s="3" t="s">
        <v>6759</v>
      </c>
      <c r="B6896" s="3" t="s">
        <v>6751</v>
      </c>
      <c r="C6896" s="3" t="s">
        <v>7126</v>
      </c>
      <c r="D6896" s="4" t="str">
        <f>HYPERLINK("https://12go.asia/en/travel/Terminal-Purabaya-Bungurasih/Kapal", "12Go Link")</f>
        <v>12Go Link</v>
      </c>
      <c r="E6896" s="3" t="s">
        <v>6746</v>
      </c>
      <c r="K6896" s="5"/>
    </row>
    <row r="6897">
      <c r="A6897" s="3" t="s">
        <v>6759</v>
      </c>
      <c r="B6897" s="3" t="s">
        <v>6751</v>
      </c>
      <c r="C6897" s="3" t="s">
        <v>7127</v>
      </c>
      <c r="D6897" s="4" t="str">
        <f>HYPERLINK("https://12go.asia/en/travel/Terminal-Purabaya-Bungurasih/Terminal-Mengwi", "12Go Link")</f>
        <v>12Go Link</v>
      </c>
      <c r="E6897" s="3" t="s">
        <v>6746</v>
      </c>
      <c r="K6897" s="5"/>
    </row>
    <row r="6898">
      <c r="A6898" s="3" t="s">
        <v>6759</v>
      </c>
      <c r="B6898" s="3" t="s">
        <v>6754</v>
      </c>
      <c r="C6898" s="3" t="s">
        <v>7128</v>
      </c>
      <c r="D6898" s="4" t="str">
        <f>HYPERLINK("https://12go.asia/en/travel/Terminal-Purabaya-Bungurasih/Alun-Alun-Kota-Negara", "12Go Link")</f>
        <v>12Go Link</v>
      </c>
      <c r="E6898" s="3" t="s">
        <v>6746</v>
      </c>
      <c r="K6898" s="5"/>
    </row>
    <row r="6899">
      <c r="A6899" s="3" t="s">
        <v>6759</v>
      </c>
      <c r="B6899" s="3" t="s">
        <v>6754</v>
      </c>
      <c r="C6899" s="3" t="s">
        <v>7129</v>
      </c>
      <c r="D6899" s="4" t="str">
        <f>HYPERLINK("https://12go.asia/en/travel/Terminal-Purabaya-Bungurasih/Terminal-Baru-Negara", "12Go Link")</f>
        <v>12Go Link</v>
      </c>
      <c r="E6899" s="3" t="s">
        <v>6746</v>
      </c>
      <c r="K6899" s="5"/>
    </row>
    <row r="6900">
      <c r="A6900" s="3" t="s">
        <v>6759</v>
      </c>
      <c r="B6900" s="3" t="s">
        <v>6763</v>
      </c>
      <c r="C6900" s="3" t="s">
        <v>7130</v>
      </c>
      <c r="D6900" s="4" t="str">
        <f>HYPERLINK("https://12go.asia/en/travel/Terminal-Purabaya-Bungurasih/Terminal-Pesiapan", "12Go Link")</f>
        <v>12Go Link</v>
      </c>
      <c r="E6900" s="3" t="s">
        <v>6746</v>
      </c>
      <c r="K6900" s="5"/>
    </row>
    <row r="6901">
      <c r="A6901" s="3" t="s">
        <v>6761</v>
      </c>
      <c r="B6901" s="3" t="s">
        <v>6743</v>
      </c>
      <c r="C6901" s="3" t="s">
        <v>7131</v>
      </c>
      <c r="D6901" s="4" t="str">
        <f>HYPERLINK("https://12go.asia/en/travel/Terminal-Tirtonadi/Pelabuhan-Ketapang", "12Go Link")</f>
        <v>12Go Link</v>
      </c>
      <c r="E6901" s="3" t="s">
        <v>6746</v>
      </c>
      <c r="K6901" s="5"/>
    </row>
    <row r="6902">
      <c r="A6902" s="3" t="s">
        <v>6761</v>
      </c>
      <c r="B6902" s="3" t="s">
        <v>6744</v>
      </c>
      <c r="C6902" s="3" t="s">
        <v>7132</v>
      </c>
      <c r="D6902" s="4" t="str">
        <f>HYPERLINK("https://12go.asia/en/travel/Terminal-Tirtonadi/Kantor-Wisata-Komodo", "12Go Link")</f>
        <v>12Go Link</v>
      </c>
      <c r="E6902" s="3" t="s">
        <v>6746</v>
      </c>
      <c r="K6902" s="5"/>
    </row>
    <row r="6903">
      <c r="A6903" s="3" t="s">
        <v>6761</v>
      </c>
      <c r="B6903" s="3" t="s">
        <v>6747</v>
      </c>
      <c r="C6903" s="3" t="s">
        <v>7133</v>
      </c>
      <c r="D6903" s="4" t="str">
        <f>HYPERLINK("https://12go.asia/en/travel/Terminal-Tirtonadi/Kantor-Wisata-Komodo-Gilimanuk", "12Go Link")</f>
        <v>12Go Link</v>
      </c>
      <c r="E6903" s="3" t="s">
        <v>6746</v>
      </c>
      <c r="K6903" s="5"/>
    </row>
    <row r="6904">
      <c r="A6904" s="3" t="s">
        <v>6761</v>
      </c>
      <c r="B6904" s="3" t="s">
        <v>6992</v>
      </c>
      <c r="C6904" s="3" t="s">
        <v>7134</v>
      </c>
      <c r="D6904" s="4" t="str">
        <f>HYPERLINK("https://12go.asia/en/travel/surakarta/jatibening", "12Go Link")</f>
        <v>12Go Link</v>
      </c>
      <c r="E6904" s="3" t="s">
        <v>3568</v>
      </c>
      <c r="K6904" s="5"/>
    </row>
    <row r="6905">
      <c r="A6905" s="3" t="s">
        <v>6761</v>
      </c>
      <c r="B6905" s="3" t="s">
        <v>6751</v>
      </c>
      <c r="C6905" s="3" t="s">
        <v>7135</v>
      </c>
      <c r="D6905" s="4" t="str">
        <f>HYPERLINK("https://12go.asia/en/travel/Terminal-Tirtonadi/Terminal-Mengwi", "12Go Link")</f>
        <v>12Go Link</v>
      </c>
      <c r="E6905" s="3" t="s">
        <v>6746</v>
      </c>
      <c r="K6905" s="5"/>
    </row>
    <row r="6906">
      <c r="A6906" s="3" t="s">
        <v>6761</v>
      </c>
      <c r="B6906" s="3" t="s">
        <v>6754</v>
      </c>
      <c r="C6906" s="3" t="s">
        <v>7136</v>
      </c>
      <c r="D6906" s="4" t="str">
        <f>HYPERLINK("https://12go.asia/en/travel/Terminal-Tirtonadi/Terminal-Baru-Negara", "12Go Link")</f>
        <v>12Go Link</v>
      </c>
      <c r="E6906" s="3" t="s">
        <v>6746</v>
      </c>
      <c r="K6906" s="5"/>
    </row>
    <row r="6907">
      <c r="A6907" s="3" t="s">
        <v>6761</v>
      </c>
      <c r="B6907" s="3" t="s">
        <v>6763</v>
      </c>
      <c r="C6907" s="3" t="s">
        <v>7137</v>
      </c>
      <c r="D6907" s="4" t="str">
        <f>HYPERLINK("https://12go.asia/en/travel/Terminal-Tirtonadi/Terminal-Pesiapan", "12Go Link")</f>
        <v>12Go Link</v>
      </c>
      <c r="E6907" s="3" t="s">
        <v>6746</v>
      </c>
      <c r="K6907" s="5"/>
    </row>
    <row r="6908">
      <c r="A6908" s="3" t="s">
        <v>6763</v>
      </c>
      <c r="B6908" s="3" t="s">
        <v>6749</v>
      </c>
      <c r="C6908" s="3" t="s">
        <v>7138</v>
      </c>
      <c r="D6908" s="4" t="str">
        <f>HYPERLINK("https://12go.asia/en/travel/Terminal-Pesiapan/Terminal-Bus-Kebumen", "12Go Link")</f>
        <v>12Go Link</v>
      </c>
      <c r="E6908" s="3" t="s">
        <v>6746</v>
      </c>
      <c r="K6908" s="5"/>
    </row>
    <row r="6909">
      <c r="A6909" s="3" t="s">
        <v>6763</v>
      </c>
      <c r="B6909" s="3" t="s">
        <v>6757</v>
      </c>
      <c r="C6909" s="3" t="s">
        <v>7139</v>
      </c>
      <c r="D6909" s="4" t="str">
        <f>HYPERLINK("https://12go.asia/en/travel/Terminal-Pesiapan/Terminal-Purwokerto", "12Go Link")</f>
        <v>12Go Link</v>
      </c>
      <c r="E6909" s="3" t="s">
        <v>6746</v>
      </c>
      <c r="K6909" s="5"/>
    </row>
    <row r="6910">
      <c r="A6910" s="3" t="s">
        <v>6763</v>
      </c>
      <c r="B6910" s="3" t="s">
        <v>6759</v>
      </c>
      <c r="C6910" s="3" t="s">
        <v>7140</v>
      </c>
      <c r="D6910" s="4" t="str">
        <f>HYPERLINK("https://12go.asia/en/travel/Terminal-Pesiapan/Terminal-Purabaya-Bungurasih", "12Go Link")</f>
        <v>12Go Link</v>
      </c>
      <c r="E6910" s="3" t="s">
        <v>6746</v>
      </c>
      <c r="K6910" s="5"/>
    </row>
    <row r="6911">
      <c r="A6911" s="3" t="s">
        <v>6763</v>
      </c>
      <c r="B6911" s="3" t="s">
        <v>6759</v>
      </c>
      <c r="C6911" s="3" t="s">
        <v>7141</v>
      </c>
      <c r="D6911" s="4" t="str">
        <f>HYPERLINK("https://12go.asia/en/travel/tabanan/surabaya", "12Go Link")</f>
        <v>12Go Link</v>
      </c>
      <c r="E6911" s="3" t="s">
        <v>3568</v>
      </c>
      <c r="K6911" s="5"/>
    </row>
    <row r="6912">
      <c r="A6912" s="3" t="s">
        <v>6763</v>
      </c>
      <c r="B6912" s="3" t="s">
        <v>6761</v>
      </c>
      <c r="C6912" s="3" t="s">
        <v>7142</v>
      </c>
      <c r="D6912" s="4" t="str">
        <f>HYPERLINK("https://12go.asia/en/travel/Terminal-Pesiapan/Terminal-Tirtonadi", "12Go Link")</f>
        <v>12Go Link</v>
      </c>
      <c r="E6912" s="3" t="s">
        <v>6746</v>
      </c>
      <c r="K6912" s="5"/>
    </row>
    <row r="6913">
      <c r="A6913" s="3" t="s">
        <v>6763</v>
      </c>
      <c r="B6913" s="3" t="s">
        <v>6765</v>
      </c>
      <c r="C6913" s="3" t="s">
        <v>7143</v>
      </c>
      <c r="D6913" s="4" t="str">
        <f>HYPERLINK("https://12go.asia/en/travel/Terminal-Pesiapan/Terminal-Giwangan-Yogyakarta", "12Go Link")</f>
        <v>12Go Link</v>
      </c>
      <c r="E6913" s="3" t="s">
        <v>6746</v>
      </c>
      <c r="K6913" s="5"/>
    </row>
    <row r="6914">
      <c r="A6914" s="3" t="s">
        <v>6763</v>
      </c>
      <c r="B6914" s="3" t="s">
        <v>6765</v>
      </c>
      <c r="C6914" s="3" t="s">
        <v>7144</v>
      </c>
      <c r="D6914" s="4" t="str">
        <f>HYPERLINK("https://12go.asia/en/travel/Terminal-Pesiapan/Wisata-Komodo-Janti", "12Go Link")</f>
        <v>12Go Link</v>
      </c>
      <c r="E6914" s="3" t="s">
        <v>6746</v>
      </c>
      <c r="K6914" s="5"/>
    </row>
    <row r="6915">
      <c r="A6915" s="3" t="s">
        <v>7038</v>
      </c>
      <c r="B6915" s="3" t="s">
        <v>7145</v>
      </c>
      <c r="C6915" s="3" t="s">
        <v>7146</v>
      </c>
      <c r="D6915" s="4" t="str">
        <f>HYPERLINK("https://12go.asia/en/travel/tanjung-priok/balikpapan", "12Go Link")</f>
        <v>12Go Link</v>
      </c>
      <c r="E6915" s="3" t="s">
        <v>3568</v>
      </c>
      <c r="K6915" s="5"/>
    </row>
    <row r="6916">
      <c r="A6916" s="3" t="s">
        <v>7038</v>
      </c>
      <c r="B6916" s="3" t="s">
        <v>6993</v>
      </c>
      <c r="C6916" s="3" t="s">
        <v>7147</v>
      </c>
      <c r="D6916" s="4" t="str">
        <f>HYPERLINK("https://12go.asia/en/travel/tanjung-priok/malang", "12Go Link")</f>
        <v>12Go Link</v>
      </c>
      <c r="E6916" s="3" t="s">
        <v>3568</v>
      </c>
      <c r="K6916" s="5"/>
    </row>
    <row r="6917">
      <c r="A6917" s="3" t="s">
        <v>6724</v>
      </c>
      <c r="B6917" s="3" t="s">
        <v>6597</v>
      </c>
      <c r="C6917" s="3" t="s">
        <v>7148</v>
      </c>
      <c r="D6917" s="4" t="str">
        <f>HYPERLINK("https://12go.asia/en/travel/Coco-Supermarket-Ubud/Padang-Bai-Central-Parking", "12Go Link")</f>
        <v>12Go Link</v>
      </c>
      <c r="E6917" s="3" t="s">
        <v>6602</v>
      </c>
      <c r="K6917" s="5"/>
    </row>
    <row r="6918">
      <c r="A6918" s="3" t="s">
        <v>6724</v>
      </c>
      <c r="B6918" s="3" t="s">
        <v>6597</v>
      </c>
      <c r="C6918" s="3" t="s">
        <v>7149</v>
      </c>
      <c r="D6918" s="4" t="str">
        <f>HYPERLINK("https://12go.asia/en/travel/Ubud-Transfer/Canggu-Transfer", "12Go Link")</f>
        <v>12Go Link</v>
      </c>
      <c r="E6918" s="3" t="s">
        <v>6599</v>
      </c>
      <c r="K6918" s="5"/>
    </row>
    <row r="6919">
      <c r="A6919" s="3" t="s">
        <v>6724</v>
      </c>
      <c r="B6919" s="3" t="s">
        <v>6597</v>
      </c>
      <c r="C6919" s="3" t="s">
        <v>7150</v>
      </c>
      <c r="D6919" s="4" t="str">
        <f>HYPERLINK("https://12go.asia/en/travel/Ubud-Transfer/Jimbaran-Transfer", "12Go Link")</f>
        <v>12Go Link</v>
      </c>
      <c r="E6919" s="3" t="s">
        <v>6599</v>
      </c>
      <c r="K6919" s="5"/>
    </row>
    <row r="6920">
      <c r="A6920" s="3" t="s">
        <v>6724</v>
      </c>
      <c r="B6920" s="3" t="s">
        <v>6597</v>
      </c>
      <c r="C6920" s="3" t="s">
        <v>7151</v>
      </c>
      <c r="D6920" s="4" t="str">
        <f>HYPERLINK("https://12go.asia/en/travel/Ubud-Transfer/Kuta-Transfer", "12Go Link")</f>
        <v>12Go Link</v>
      </c>
      <c r="E6920" s="3" t="s">
        <v>6599</v>
      </c>
      <c r="K6920" s="5"/>
    </row>
    <row r="6921">
      <c r="A6921" s="3" t="s">
        <v>6724</v>
      </c>
      <c r="B6921" s="3" t="s">
        <v>6597</v>
      </c>
      <c r="C6921" s="3" t="s">
        <v>7152</v>
      </c>
      <c r="D6921" s="4" t="str">
        <f>HYPERLINK("https://12go.asia/en/travel/Ubud-Transfer/Lebih-Transfer", "12Go Link")</f>
        <v>12Go Link</v>
      </c>
      <c r="E6921" s="3" t="s">
        <v>6599</v>
      </c>
      <c r="K6921" s="5"/>
    </row>
    <row r="6922">
      <c r="A6922" s="3" t="s">
        <v>6724</v>
      </c>
      <c r="B6922" s="3" t="s">
        <v>6597</v>
      </c>
      <c r="C6922" s="3" t="s">
        <v>7153</v>
      </c>
      <c r="D6922" s="4" t="str">
        <f>HYPERLINK("https://12go.asia/en/travel/Ubud-Transfer/Lodtunduh-Transfer", "12Go Link")</f>
        <v>12Go Link</v>
      </c>
      <c r="E6922" s="3" t="s">
        <v>6599</v>
      </c>
      <c r="K6922" s="5"/>
    </row>
    <row r="6923">
      <c r="A6923" s="3" t="s">
        <v>6724</v>
      </c>
      <c r="B6923" s="3" t="s">
        <v>6597</v>
      </c>
      <c r="C6923" s="3" t="s">
        <v>7154</v>
      </c>
      <c r="D6923" s="4" t="str">
        <f>HYPERLINK("https://12go.asia/en/travel/Ubud-Transfer/Lovina", "12Go Link")</f>
        <v>12Go Link</v>
      </c>
      <c r="E6923" s="3" t="s">
        <v>6599</v>
      </c>
      <c r="K6923" s="5"/>
    </row>
    <row r="6924">
      <c r="A6924" s="3" t="s">
        <v>6724</v>
      </c>
      <c r="B6924" s="3" t="s">
        <v>6597</v>
      </c>
      <c r="C6924" s="3" t="s">
        <v>7155</v>
      </c>
      <c r="D6924" s="4" t="str">
        <f>HYPERLINK("https://12go.asia/en/travel/Ubud-Transfer/Nusa-Dua-Transfer", "12Go Link")</f>
        <v>12Go Link</v>
      </c>
      <c r="E6924" s="3" t="s">
        <v>6599</v>
      </c>
      <c r="K6924" s="5"/>
    </row>
    <row r="6925">
      <c r="A6925" s="3" t="s">
        <v>6724</v>
      </c>
      <c r="B6925" s="3" t="s">
        <v>6597</v>
      </c>
      <c r="C6925" s="3" t="s">
        <v>7156</v>
      </c>
      <c r="D6925" s="4" t="str">
        <f>HYPERLINK("https://12go.asia/en/travel/Ubud-Transfer/Padang-Bai-Transfer", "12Go Link")</f>
        <v>12Go Link</v>
      </c>
      <c r="E6925" s="3" t="s">
        <v>7157</v>
      </c>
      <c r="K6925" s="5"/>
    </row>
    <row r="6926">
      <c r="A6926" s="3" t="s">
        <v>6724</v>
      </c>
      <c r="B6926" s="3" t="s">
        <v>6597</v>
      </c>
      <c r="C6926" s="3" t="s">
        <v>7158</v>
      </c>
      <c r="D6926" s="4" t="str">
        <f>HYPERLINK("https://12go.asia/en/travel/Ubud-Transfer/Payangan-Transfer", "12Go Link")</f>
        <v>12Go Link</v>
      </c>
      <c r="E6926" s="3" t="s">
        <v>6599</v>
      </c>
      <c r="K6926" s="5"/>
    </row>
    <row r="6927">
      <c r="A6927" s="3" t="s">
        <v>6724</v>
      </c>
      <c r="B6927" s="3" t="s">
        <v>6597</v>
      </c>
      <c r="C6927" s="3" t="s">
        <v>7159</v>
      </c>
      <c r="D6927" s="4" t="str">
        <f>HYPERLINK("https://12go.asia/en/travel/Ubud-Transfer/Pecatu-Transfer", "12Go Link")</f>
        <v>12Go Link</v>
      </c>
      <c r="E6927" s="3" t="s">
        <v>6599</v>
      </c>
      <c r="K6927" s="5"/>
    </row>
    <row r="6928">
      <c r="A6928" s="3" t="s">
        <v>6724</v>
      </c>
      <c r="B6928" s="3" t="s">
        <v>6597</v>
      </c>
      <c r="C6928" s="3" t="s">
        <v>7160</v>
      </c>
      <c r="D6928" s="4" t="str">
        <f>HYPERLINK("https://12go.asia/en/travel/Ubud-Transfer/Pemuteran-Transfer", "12Go Link")</f>
        <v>12Go Link</v>
      </c>
      <c r="E6928" s="3" t="s">
        <v>6599</v>
      </c>
      <c r="K6928" s="5"/>
    </row>
    <row r="6929">
      <c r="A6929" s="3" t="s">
        <v>6724</v>
      </c>
      <c r="B6929" s="3" t="s">
        <v>6597</v>
      </c>
      <c r="C6929" s="3" t="s">
        <v>7161</v>
      </c>
      <c r="D6929" s="4" t="str">
        <f>HYPERLINK("https://12go.asia/en/travel/Ubud-Transfer/Seminyak-Transfer", "12Go Link")</f>
        <v>12Go Link</v>
      </c>
      <c r="E6929" s="3" t="s">
        <v>6599</v>
      </c>
      <c r="K6929" s="5"/>
    </row>
    <row r="6930">
      <c r="A6930" s="3" t="s">
        <v>6724</v>
      </c>
      <c r="B6930" s="3" t="s">
        <v>6597</v>
      </c>
      <c r="C6930" s="3" t="s">
        <v>7162</v>
      </c>
      <c r="D6930" s="4" t="str">
        <f>HYPERLINK("https://12go.asia/en/travel/Ubud-Transfer/Sukawati-Transfer", "12Go Link")</f>
        <v>12Go Link</v>
      </c>
      <c r="E6930" s="3" t="s">
        <v>6599</v>
      </c>
      <c r="K6930" s="5"/>
    </row>
    <row r="6931">
      <c r="A6931" s="3" t="s">
        <v>6724</v>
      </c>
      <c r="B6931" s="3" t="s">
        <v>6597</v>
      </c>
      <c r="C6931" s="3" t="s">
        <v>7163</v>
      </c>
      <c r="D6931" s="4" t="str">
        <f>HYPERLINK("https://12go.asia/en/travel/Ubud-Transfer/Tampaksiring-Transfer", "12Go Link")</f>
        <v>12Go Link</v>
      </c>
      <c r="E6931" s="3" t="s">
        <v>6599</v>
      </c>
      <c r="K6931" s="5"/>
    </row>
    <row r="6932">
      <c r="A6932" s="3" t="s">
        <v>6724</v>
      </c>
      <c r="B6932" s="3" t="s">
        <v>6597</v>
      </c>
      <c r="C6932" s="3" t="s">
        <v>7164</v>
      </c>
      <c r="D6932" s="4" t="str">
        <f>HYPERLINK("https://12go.asia/en/travel/Ubud-Transfer/Taro-Transfer", "12Go Link")</f>
        <v>12Go Link</v>
      </c>
      <c r="E6932" s="3" t="s">
        <v>6599</v>
      </c>
      <c r="K6932" s="5"/>
    </row>
    <row r="6933">
      <c r="A6933" s="3" t="s">
        <v>6724</v>
      </c>
      <c r="B6933" s="3" t="s">
        <v>6597</v>
      </c>
      <c r="C6933" s="3" t="s">
        <v>7165</v>
      </c>
      <c r="D6933" s="4" t="str">
        <f>HYPERLINK("https://12go.asia/en/travel/Ubud-Transfer/Tegalalang-Transfer", "12Go Link")</f>
        <v>12Go Link</v>
      </c>
      <c r="E6933" s="3" t="s">
        <v>6599</v>
      </c>
      <c r="K6933" s="5"/>
    </row>
    <row r="6934">
      <c r="A6934" s="3" t="s">
        <v>6724</v>
      </c>
      <c r="B6934" s="3" t="s">
        <v>6597</v>
      </c>
      <c r="C6934" s="3" t="s">
        <v>7166</v>
      </c>
      <c r="D6934" s="4" t="str">
        <f>HYPERLINK("https://12go.asia/en/travel/Ubud-Transfer/Tulamben-Transfer", "12Go Link")</f>
        <v>12Go Link</v>
      </c>
      <c r="E6934" s="3" t="s">
        <v>6599</v>
      </c>
      <c r="K6934" s="5"/>
    </row>
    <row r="6935">
      <c r="A6935" s="3" t="s">
        <v>6724</v>
      </c>
      <c r="B6935" s="3" t="s">
        <v>6597</v>
      </c>
      <c r="C6935" s="3" t="s">
        <v>7167</v>
      </c>
      <c r="D6935" s="4" t="str">
        <f>HYPERLINK("https://12go.asia/en/travel/Ubud-Transfer/Uluwatu-Transfer", "12Go Link")</f>
        <v>12Go Link</v>
      </c>
      <c r="E6935" s="3" t="s">
        <v>6599</v>
      </c>
      <c r="K6935" s="5"/>
    </row>
    <row r="6936">
      <c r="A6936" s="3" t="s">
        <v>6724</v>
      </c>
      <c r="B6936" s="3" t="s">
        <v>6671</v>
      </c>
      <c r="C6936" s="3" t="s">
        <v>7168</v>
      </c>
      <c r="D6936" s="4" t="str">
        <f>HYPERLINK("https://12go.asia/en/travel/Ubud-Transfer/Kintamani-Transfer", "12Go Link")</f>
        <v>12Go Link</v>
      </c>
      <c r="E6936" s="3" t="s">
        <v>6599</v>
      </c>
      <c r="K6936" s="5"/>
    </row>
    <row r="6937">
      <c r="A6937" s="3" t="s">
        <v>6724</v>
      </c>
      <c r="B6937" s="3" t="s">
        <v>6958</v>
      </c>
      <c r="C6937" s="3" t="s">
        <v>7169</v>
      </c>
      <c r="D6937" s="4" t="str">
        <f>HYPERLINK("https://12go.asia/en/travel/ubud/pasuruan", "12Go Link")</f>
        <v>12Go Link</v>
      </c>
      <c r="E6937" s="3" t="s">
        <v>3568</v>
      </c>
      <c r="K6937" s="5"/>
    </row>
    <row r="6938">
      <c r="A6938" s="3" t="s">
        <v>6724</v>
      </c>
      <c r="B6938" s="3" t="s">
        <v>6708</v>
      </c>
      <c r="C6938" s="3" t="s">
        <v>7170</v>
      </c>
      <c r="D6938" s="4" t="str">
        <f>HYPERLINK("https://12go.asia/en/travel/Ubud-Transfer/Sanur-Transfer", "12Go Link")</f>
        <v>12Go Link</v>
      </c>
      <c r="E6938" s="3" t="s">
        <v>6599</v>
      </c>
      <c r="K6938" s="5"/>
    </row>
    <row r="6939">
      <c r="A6939" s="3" t="s">
        <v>6765</v>
      </c>
      <c r="B6939" s="3" t="s">
        <v>6743</v>
      </c>
      <c r="C6939" s="3" t="s">
        <v>7171</v>
      </c>
      <c r="D6939" s="4" t="str">
        <f>HYPERLINK("https://12go.asia/en/travel/Terminal-Giwangan-Yogyakarta/Pelabuhan-Ketapang", "12Go Link")</f>
        <v>12Go Link</v>
      </c>
      <c r="E6939" s="3" t="s">
        <v>6746</v>
      </c>
      <c r="K6939" s="5"/>
    </row>
    <row r="6940">
      <c r="A6940" s="3" t="s">
        <v>6765</v>
      </c>
      <c r="B6940" s="3" t="s">
        <v>6743</v>
      </c>
      <c r="C6940" s="3" t="s">
        <v>7172</v>
      </c>
      <c r="D6940" s="4" t="str">
        <f>HYPERLINK("https://12go.asia/en/travel/Wisata-Komodo-Janti/Pelabuhan-Ketapang", "12Go Link")</f>
        <v>12Go Link</v>
      </c>
      <c r="E6940" s="3" t="s">
        <v>6746</v>
      </c>
      <c r="K6940" s="5"/>
    </row>
    <row r="6941">
      <c r="A6941" s="3" t="s">
        <v>6765</v>
      </c>
      <c r="B6941" s="3" t="s">
        <v>6744</v>
      </c>
      <c r="C6941" s="3" t="s">
        <v>7173</v>
      </c>
      <c r="D6941" s="4" t="str">
        <f>HYPERLINK("https://12go.asia/en/travel/Terminal-Giwangan-Yogyakarta/Kantor-Wisata-Komodo", "12Go Link")</f>
        <v>12Go Link</v>
      </c>
      <c r="E6941" s="3" t="s">
        <v>6746</v>
      </c>
      <c r="K6941" s="5"/>
    </row>
    <row r="6942">
      <c r="A6942" s="3" t="s">
        <v>6765</v>
      </c>
      <c r="B6942" s="3" t="s">
        <v>6744</v>
      </c>
      <c r="C6942" s="3" t="s">
        <v>7174</v>
      </c>
      <c r="D6942" s="4" t="str">
        <f>HYPERLINK("https://12go.asia/en/travel/Wisata-Komodo-Janti/Kantor-Wisata-Komodo", "12Go Link")</f>
        <v>12Go Link</v>
      </c>
      <c r="E6942" s="3" t="s">
        <v>6746</v>
      </c>
      <c r="K6942" s="5"/>
    </row>
    <row r="6943">
      <c r="A6943" s="3" t="s">
        <v>6765</v>
      </c>
      <c r="B6943" s="3" t="s">
        <v>6747</v>
      </c>
      <c r="C6943" s="3" t="s">
        <v>7175</v>
      </c>
      <c r="D6943" s="4" t="str">
        <f>HYPERLINK("https://12go.asia/en/travel/Terminal-Giwangan-Yogyakarta/Kantor-Wisata-Komodo-Gilimanuk", "12Go Link")</f>
        <v>12Go Link</v>
      </c>
      <c r="E6943" s="3" t="s">
        <v>6746</v>
      </c>
      <c r="K6943" s="5"/>
    </row>
    <row r="6944">
      <c r="A6944" s="3" t="s">
        <v>6765</v>
      </c>
      <c r="B6944" s="3" t="s">
        <v>6747</v>
      </c>
      <c r="C6944" s="3" t="s">
        <v>7176</v>
      </c>
      <c r="D6944" s="4" t="str">
        <f>HYPERLINK("https://12go.asia/en/travel/Wisata-Komodo-Janti/Kantor-Wisata-Komodo-Gilimanuk", "12Go Link")</f>
        <v>12Go Link</v>
      </c>
      <c r="E6944" s="3" t="s">
        <v>6746</v>
      </c>
      <c r="K6944" s="5"/>
    </row>
    <row r="6945">
      <c r="A6945" s="3" t="s">
        <v>6765</v>
      </c>
      <c r="B6945" s="3" t="s">
        <v>6992</v>
      </c>
      <c r="C6945" s="3" t="s">
        <v>7177</v>
      </c>
      <c r="D6945" s="4" t="str">
        <f>HYPERLINK("https://12go.asia/en/travel/yogyakarta/jatibening", "12Go Link")</f>
        <v>12Go Link</v>
      </c>
      <c r="E6945" s="3" t="s">
        <v>3568</v>
      </c>
      <c r="K6945" s="5"/>
    </row>
    <row r="6946">
      <c r="A6946" s="3" t="s">
        <v>6765</v>
      </c>
      <c r="B6946" s="3" t="s">
        <v>6751</v>
      </c>
      <c r="C6946" s="3" t="s">
        <v>7178</v>
      </c>
      <c r="D6946" s="4" t="str">
        <f>HYPERLINK("https://12go.asia/en/travel/Terminal-Giwangan-Yogyakarta/Terminal-Mengwi", "12Go Link")</f>
        <v>12Go Link</v>
      </c>
      <c r="E6946" s="3" t="s">
        <v>6746</v>
      </c>
      <c r="K6946" s="5"/>
    </row>
    <row r="6947">
      <c r="A6947" s="3" t="s">
        <v>6765</v>
      </c>
      <c r="B6947" s="3" t="s">
        <v>6751</v>
      </c>
      <c r="C6947" s="3" t="s">
        <v>7179</v>
      </c>
      <c r="D6947" s="4" t="str">
        <f>HYPERLINK("https://12go.asia/en/travel/Wisata-Komodo-Janti/Terminal-Mengwi", "12Go Link")</f>
        <v>12Go Link</v>
      </c>
      <c r="E6947" s="3" t="s">
        <v>6746</v>
      </c>
      <c r="K6947" s="5"/>
    </row>
    <row r="6948">
      <c r="A6948" s="3" t="s">
        <v>6765</v>
      </c>
      <c r="B6948" s="3" t="s">
        <v>6754</v>
      </c>
      <c r="C6948" s="3" t="s">
        <v>7180</v>
      </c>
      <c r="D6948" s="4" t="str">
        <f>HYPERLINK("https://12go.asia/en/travel/Terminal-Giwangan-Yogyakarta/Terminal-Baru-Negara", "12Go Link")</f>
        <v>12Go Link</v>
      </c>
      <c r="E6948" s="3" t="s">
        <v>6746</v>
      </c>
      <c r="K6948" s="5"/>
    </row>
    <row r="6949">
      <c r="A6949" s="3" t="s">
        <v>6765</v>
      </c>
      <c r="B6949" s="3" t="s">
        <v>6754</v>
      </c>
      <c r="C6949" s="3" t="s">
        <v>7181</v>
      </c>
      <c r="D6949" s="4" t="str">
        <f>HYPERLINK("https://12go.asia/en/travel/Wisata-Komodo-Janti/Terminal-Baru-Negara", "12Go Link")</f>
        <v>12Go Link</v>
      </c>
      <c r="E6949" s="3" t="s">
        <v>6746</v>
      </c>
      <c r="K6949" s="5"/>
    </row>
    <row r="6950">
      <c r="A6950" s="3" t="s">
        <v>6765</v>
      </c>
      <c r="B6950" s="3" t="s">
        <v>6763</v>
      </c>
      <c r="C6950" s="3" t="s">
        <v>7182</v>
      </c>
      <c r="D6950" s="4" t="str">
        <f>HYPERLINK("https://12go.asia/en/travel/Terminal-Giwangan-Yogyakarta/Terminal-Pesiapan", "12Go Link")</f>
        <v>12Go Link</v>
      </c>
      <c r="E6950" s="3" t="s">
        <v>6746</v>
      </c>
      <c r="K6950" s="5"/>
    </row>
    <row r="6951">
      <c r="A6951" s="3" t="s">
        <v>6765</v>
      </c>
      <c r="B6951" s="3" t="s">
        <v>6763</v>
      </c>
      <c r="C6951" s="3" t="s">
        <v>7183</v>
      </c>
      <c r="D6951" s="4" t="str">
        <f>HYPERLINK("https://12go.asia/en/travel/Wisata-Komodo-Janti/Terminal-Pesiapan", "12Go Link")</f>
        <v>12Go Link</v>
      </c>
      <c r="E6951" s="3" t="s">
        <v>6746</v>
      </c>
      <c r="K6951" s="5"/>
    </row>
    <row r="6952">
      <c r="A6952" s="3" t="s">
        <v>6765</v>
      </c>
      <c r="B6952" s="3" t="s">
        <v>7038</v>
      </c>
      <c r="C6952" s="3" t="s">
        <v>7184</v>
      </c>
      <c r="D6952" s="4" t="str">
        <f>HYPERLINK("https://12go.asia/en/travel/yogyakarta/tanjung-priok", "12Go Link")</f>
        <v>12Go Link</v>
      </c>
      <c r="E6952" s="3" t="s">
        <v>3568</v>
      </c>
      <c r="K6952" s="5"/>
    </row>
    <row r="6953">
      <c r="A6953" s="3" t="s">
        <v>7185</v>
      </c>
      <c r="B6953" s="3" t="s">
        <v>61</v>
      </c>
      <c r="C6953" s="3" t="s">
        <v>7186</v>
      </c>
      <c r="D6953" s="4" t="str">
        <f>HYPERLINK("https://12go.asia/en/travel/charleville/toowoomba", "12Go Link")</f>
        <v>12Go Link</v>
      </c>
      <c r="E6953" s="3" t="s">
        <v>8</v>
      </c>
      <c r="K6953" s="5"/>
    </row>
    <row r="6954">
      <c r="A6954" s="3" t="s">
        <v>7185</v>
      </c>
      <c r="B6954" s="3" t="s">
        <v>63</v>
      </c>
      <c r="C6954" s="3" t="s">
        <v>7187</v>
      </c>
      <c r="D6954" s="4" t="str">
        <f>HYPERLINK("https://12go.asia/en/travel/charleville/winton", "12Go Link")</f>
        <v>12Go Link</v>
      </c>
      <c r="E6954" s="3" t="s">
        <v>8</v>
      </c>
      <c r="K6954" s="5"/>
    </row>
    <row r="6955">
      <c r="A6955" s="3" t="s">
        <v>7185</v>
      </c>
      <c r="B6955" s="3" t="s">
        <v>63</v>
      </c>
      <c r="C6955" s="3" t="s">
        <v>7188</v>
      </c>
      <c r="D6955" s="4" t="str">
        <f>HYPERLINK("https://12go.asia/en/travel/charleville/winton-meal-break", "12Go Link")</f>
        <v>12Go Link</v>
      </c>
      <c r="E6955" s="3" t="s">
        <v>8</v>
      </c>
      <c r="K6955" s="5"/>
    </row>
    <row r="6956">
      <c r="A6956" s="3" t="s">
        <v>7189</v>
      </c>
      <c r="B6956" s="3" t="s">
        <v>7190</v>
      </c>
      <c r="C6956" s="3" t="s">
        <v>7191</v>
      </c>
      <c r="D6956" s="4" t="str">
        <f>HYPERLINK("https://12go.asia/en/travel/Hachioji/Fujisan", "12Go Link")</f>
        <v>12Go Link</v>
      </c>
      <c r="E6956" s="3" t="s">
        <v>7192</v>
      </c>
      <c r="K6956" s="5"/>
    </row>
    <row r="6957">
      <c r="A6957" s="3" t="s">
        <v>7189</v>
      </c>
      <c r="B6957" s="3" t="s">
        <v>7193</v>
      </c>
      <c r="C6957" s="3" t="s">
        <v>7194</v>
      </c>
      <c r="D6957" s="4" t="str">
        <f>HYPERLINK("https://12go.asia/en/travel/Hachioji/Otsuki", "12Go Link")</f>
        <v>12Go Link</v>
      </c>
      <c r="E6957" s="3" t="s">
        <v>7192</v>
      </c>
      <c r="K6957" s="5"/>
    </row>
    <row r="6958">
      <c r="A6958" s="3" t="s">
        <v>7189</v>
      </c>
      <c r="B6958" s="3" t="s">
        <v>7195</v>
      </c>
      <c r="C6958" s="3" t="s">
        <v>7196</v>
      </c>
      <c r="D6958" s="4" t="str">
        <f>HYPERLINK("https://12go.asia/en/travel/Hachioji/Uenohara", "12Go Link")</f>
        <v>12Go Link</v>
      </c>
      <c r="E6958" s="3" t="s">
        <v>7192</v>
      </c>
      <c r="K6958" s="5"/>
    </row>
    <row r="6959">
      <c r="A6959" s="3" t="s">
        <v>7197</v>
      </c>
      <c r="B6959" s="3" t="s">
        <v>7198</v>
      </c>
      <c r="C6959" s="3" t="s">
        <v>7199</v>
      </c>
      <c r="D6959" s="4" t="str">
        <f>HYPERLINK("https://12go.asia/en/travel/hyogo/nangang", "12Go Link")</f>
        <v>12Go Link</v>
      </c>
      <c r="E6959" s="3" t="s">
        <v>3568</v>
      </c>
      <c r="K6959" s="5"/>
    </row>
    <row r="6960">
      <c r="A6960" s="3" t="s">
        <v>7197</v>
      </c>
      <c r="B6960" s="3" t="s">
        <v>7200</v>
      </c>
      <c r="C6960" s="3" t="s">
        <v>7201</v>
      </c>
      <c r="D6960" s="4" t="str">
        <f>HYPERLINK("https://12go.asia/en/travel/hyogo/new-taipei", "12Go Link")</f>
        <v>12Go Link</v>
      </c>
      <c r="E6960" s="3" t="s">
        <v>3568</v>
      </c>
      <c r="K6960" s="5"/>
    </row>
    <row r="6961">
      <c r="A6961" s="3" t="s">
        <v>7197</v>
      </c>
      <c r="B6961" s="3" t="s">
        <v>7202</v>
      </c>
      <c r="C6961" s="3" t="s">
        <v>7203</v>
      </c>
      <c r="D6961" s="4" t="str">
        <f>HYPERLINK("https://12go.asia/en/travel/hyogo/taipei", "12Go Link")</f>
        <v>12Go Link</v>
      </c>
      <c r="E6961" s="3" t="s">
        <v>3568</v>
      </c>
      <c r="K6961" s="5"/>
    </row>
    <row r="6962">
      <c r="A6962" s="3" t="s">
        <v>7197</v>
      </c>
      <c r="B6962" s="3" t="s">
        <v>7204</v>
      </c>
      <c r="C6962" s="3" t="s">
        <v>7205</v>
      </c>
      <c r="D6962" s="4" t="str">
        <f>HYPERLINK("https://12go.asia/en/travel/hyogo/taoyuan-airport", "12Go Link")</f>
        <v>12Go Link</v>
      </c>
      <c r="E6962" s="3" t="s">
        <v>3568</v>
      </c>
      <c r="K6962" s="5"/>
    </row>
    <row r="6963">
      <c r="A6963" s="3" t="s">
        <v>7197</v>
      </c>
      <c r="B6963" s="3" t="s">
        <v>7206</v>
      </c>
      <c r="C6963" s="3" t="s">
        <v>7207</v>
      </c>
      <c r="D6963" s="4" t="str">
        <f>HYPERLINK("https://12go.asia/en/travel/hyogo/taoyuan-city", "12Go Link")</f>
        <v>12Go Link</v>
      </c>
      <c r="E6963" s="3" t="s">
        <v>3568</v>
      </c>
      <c r="K6963" s="5"/>
    </row>
    <row r="6964">
      <c r="A6964" s="3" t="s">
        <v>7197</v>
      </c>
      <c r="B6964" s="3" t="s">
        <v>7208</v>
      </c>
      <c r="C6964" s="3" t="s">
        <v>7209</v>
      </c>
      <c r="D6964" s="4" t="str">
        <f>HYPERLINK("https://12go.asia/en/travel/hyogo/yangmingshan-national-park", "12Go Link")</f>
        <v>12Go Link</v>
      </c>
      <c r="E6964" s="3" t="s">
        <v>3568</v>
      </c>
      <c r="K6964" s="5"/>
    </row>
    <row r="6965">
      <c r="A6965" s="3" t="s">
        <v>7197</v>
      </c>
      <c r="B6965" s="3" t="s">
        <v>7210</v>
      </c>
      <c r="C6965" s="3" t="s">
        <v>7211</v>
      </c>
      <c r="D6965" s="4" t="str">
        <f>HYPERLINK("https://12go.asia/en/travel/hyogo/yilan", "12Go Link")</f>
        <v>12Go Link</v>
      </c>
      <c r="E6965" s="3" t="s">
        <v>3568</v>
      </c>
      <c r="K6965" s="5"/>
    </row>
    <row r="6966">
      <c r="A6966" s="3" t="s">
        <v>7197</v>
      </c>
      <c r="B6966" s="3" t="s">
        <v>7212</v>
      </c>
      <c r="C6966" s="3" t="s">
        <v>7213</v>
      </c>
      <c r="D6966" s="4" t="str">
        <f>HYPERLINK("https://12go.asia/en/travel/hyogo/zhubei", "12Go Link")</f>
        <v>12Go Link</v>
      </c>
      <c r="E6966" s="3" t="s">
        <v>3568</v>
      </c>
      <c r="K6966" s="5"/>
    </row>
    <row r="6967">
      <c r="A6967" s="3" t="s">
        <v>7214</v>
      </c>
      <c r="B6967" s="3" t="s">
        <v>3566</v>
      </c>
      <c r="C6967" s="3" t="s">
        <v>7215</v>
      </c>
      <c r="D6967" s="4" t="str">
        <f>HYPERLINK("https://12go.asia/en/travel/ibaraki/bandar-sunway", "12Go Link")</f>
        <v>12Go Link</v>
      </c>
      <c r="E6967" s="3" t="s">
        <v>3568</v>
      </c>
      <c r="K6967" s="5"/>
    </row>
    <row r="6968">
      <c r="A6968" s="3" t="s">
        <v>7214</v>
      </c>
      <c r="B6968" s="3" t="s">
        <v>3569</v>
      </c>
      <c r="C6968" s="3" t="s">
        <v>7216</v>
      </c>
      <c r="D6968" s="4" t="str">
        <f>HYPERLINK("https://12go.asia/en/travel/ibaraki/klang", "12Go Link")</f>
        <v>12Go Link</v>
      </c>
      <c r="E6968" s="3" t="s">
        <v>3568</v>
      </c>
      <c r="K6968" s="5"/>
    </row>
    <row r="6969">
      <c r="A6969" s="3" t="s">
        <v>7214</v>
      </c>
      <c r="B6969" s="3" t="s">
        <v>6975</v>
      </c>
      <c r="C6969" s="3" t="s">
        <v>7217</v>
      </c>
      <c r="D6969" s="4" t="str">
        <f>HYPERLINK("https://12go.asia/en/travel/ibaraki/klia", "12Go Link")</f>
        <v>12Go Link</v>
      </c>
      <c r="E6969" s="3" t="s">
        <v>3568</v>
      </c>
      <c r="K6969" s="5"/>
    </row>
    <row r="6970">
      <c r="A6970" s="3" t="s">
        <v>7214</v>
      </c>
      <c r="B6970" s="3" t="s">
        <v>6870</v>
      </c>
      <c r="C6970" s="3" t="s">
        <v>7218</v>
      </c>
      <c r="D6970" s="4" t="str">
        <f>HYPERLINK("https://12go.asia/en/travel/ibaraki/klia-ii", "12Go Link")</f>
        <v>12Go Link</v>
      </c>
      <c r="E6970" s="3" t="s">
        <v>3568</v>
      </c>
      <c r="K6970" s="5"/>
    </row>
    <row r="6971">
      <c r="A6971" s="3" t="s">
        <v>7214</v>
      </c>
      <c r="B6971" s="3" t="s">
        <v>7219</v>
      </c>
      <c r="C6971" s="3" t="s">
        <v>7220</v>
      </c>
      <c r="D6971" s="4" t="str">
        <f>HYPERLINK("https://12go.asia/en/travel/ibaraki/kuala-lumpur", "12Go Link")</f>
        <v>12Go Link</v>
      </c>
      <c r="E6971" s="3" t="s">
        <v>3568</v>
      </c>
      <c r="K6971" s="5"/>
    </row>
    <row r="6972">
      <c r="A6972" s="3" t="s">
        <v>7214</v>
      </c>
      <c r="B6972" s="3" t="s">
        <v>6978</v>
      </c>
      <c r="C6972" s="3" t="s">
        <v>7221</v>
      </c>
      <c r="D6972" s="4" t="str">
        <f>HYPERLINK("https://12go.asia/en/travel/ibaraki/kuala-lumpur-airport", "12Go Link")</f>
        <v>12Go Link</v>
      </c>
      <c r="E6972" s="3" t="s">
        <v>3568</v>
      </c>
      <c r="K6972" s="5"/>
    </row>
    <row r="6973">
      <c r="A6973" s="3" t="s">
        <v>7214</v>
      </c>
      <c r="B6973" s="3" t="s">
        <v>3571</v>
      </c>
      <c r="C6973" s="3" t="s">
        <v>7222</v>
      </c>
      <c r="D6973" s="4" t="str">
        <f>HYPERLINK("https://12go.asia/en/travel/ibaraki/kuala-lumpur-sentral", "12Go Link")</f>
        <v>12Go Link</v>
      </c>
      <c r="E6973" s="3" t="s">
        <v>3568</v>
      </c>
      <c r="K6973" s="5"/>
    </row>
    <row r="6974">
      <c r="A6974" s="3" t="s">
        <v>7214</v>
      </c>
      <c r="B6974" s="3" t="s">
        <v>3573</v>
      </c>
      <c r="C6974" s="3" t="s">
        <v>7223</v>
      </c>
      <c r="D6974" s="4" t="str">
        <f>HYPERLINK("https://12go.asia/en/travel/ibaraki/putrajaya", "12Go Link")</f>
        <v>12Go Link</v>
      </c>
      <c r="E6974" s="3" t="s">
        <v>3568</v>
      </c>
      <c r="K6974" s="5"/>
    </row>
    <row r="6975">
      <c r="A6975" s="3" t="s">
        <v>7214</v>
      </c>
      <c r="B6975" s="3" t="s">
        <v>3575</v>
      </c>
      <c r="C6975" s="3" t="s">
        <v>7224</v>
      </c>
      <c r="D6975" s="4" t="str">
        <f>HYPERLINK("https://12go.asia/en/travel/ibaraki/seremban", "12Go Link")</f>
        <v>12Go Link</v>
      </c>
      <c r="E6975" s="3" t="s">
        <v>3568</v>
      </c>
      <c r="K6975" s="5"/>
    </row>
    <row r="6976">
      <c r="A6976" s="3" t="s">
        <v>7214</v>
      </c>
      <c r="B6976" s="3" t="s">
        <v>7225</v>
      </c>
      <c r="C6976" s="3" t="s">
        <v>7226</v>
      </c>
      <c r="D6976" s="4" t="str">
        <f>HYPERLINK("https://12go.asia/en/travel/ibaraki/banqiao", "12Go Link")</f>
        <v>12Go Link</v>
      </c>
      <c r="E6976" s="3" t="s">
        <v>3568</v>
      </c>
      <c r="K6976" s="5"/>
    </row>
    <row r="6977">
      <c r="A6977" s="3" t="s">
        <v>7214</v>
      </c>
      <c r="B6977" s="3" t="s">
        <v>7227</v>
      </c>
      <c r="C6977" s="3" t="s">
        <v>7228</v>
      </c>
      <c r="D6977" s="4" t="str">
        <f>HYPERLINK("https://12go.asia/en/travel/ibaraki/hsinchu", "12Go Link")</f>
        <v>12Go Link</v>
      </c>
      <c r="E6977" s="3" t="s">
        <v>3568</v>
      </c>
      <c r="K6977" s="5"/>
    </row>
    <row r="6978">
      <c r="A6978" s="3" t="s">
        <v>7214</v>
      </c>
      <c r="B6978" s="3" t="s">
        <v>7229</v>
      </c>
      <c r="C6978" s="3" t="s">
        <v>7230</v>
      </c>
      <c r="D6978" s="4" t="str">
        <f>HYPERLINK("https://12go.asia/en/travel/ibaraki/jiaoxi", "12Go Link")</f>
        <v>12Go Link</v>
      </c>
      <c r="E6978" s="3" t="s">
        <v>3568</v>
      </c>
      <c r="K6978" s="5"/>
    </row>
    <row r="6979">
      <c r="A6979" s="3" t="s">
        <v>7214</v>
      </c>
      <c r="B6979" s="3" t="s">
        <v>7231</v>
      </c>
      <c r="C6979" s="3" t="s">
        <v>7232</v>
      </c>
      <c r="D6979" s="4" t="str">
        <f>HYPERLINK("https://12go.asia/en/travel/ibaraki/keelung", "12Go Link")</f>
        <v>12Go Link</v>
      </c>
      <c r="E6979" s="3" t="s">
        <v>3568</v>
      </c>
      <c r="K6979" s="5"/>
    </row>
    <row r="6980">
      <c r="A6980" s="3" t="s">
        <v>7214</v>
      </c>
      <c r="B6980" s="3" t="s">
        <v>7198</v>
      </c>
      <c r="C6980" s="3" t="s">
        <v>7233</v>
      </c>
      <c r="D6980" s="4" t="str">
        <f>HYPERLINK("https://12go.asia/en/travel/ibaraki/nangang", "12Go Link")</f>
        <v>12Go Link</v>
      </c>
      <c r="E6980" s="3" t="s">
        <v>3568</v>
      </c>
      <c r="K6980" s="5"/>
    </row>
    <row r="6981">
      <c r="A6981" s="3" t="s">
        <v>7214</v>
      </c>
      <c r="B6981" s="3" t="s">
        <v>7200</v>
      </c>
      <c r="C6981" s="3" t="s">
        <v>7234</v>
      </c>
      <c r="D6981" s="4" t="str">
        <f>HYPERLINK("https://12go.asia/en/travel/ibaraki/new-taipei", "12Go Link")</f>
        <v>12Go Link</v>
      </c>
      <c r="E6981" s="3" t="s">
        <v>3568</v>
      </c>
      <c r="K6981" s="5"/>
    </row>
    <row r="6982">
      <c r="A6982" s="3" t="s">
        <v>7214</v>
      </c>
      <c r="B6982" s="3" t="s">
        <v>7206</v>
      </c>
      <c r="C6982" s="3" t="s">
        <v>7235</v>
      </c>
      <c r="D6982" s="4" t="str">
        <f>HYPERLINK("https://12go.asia/en/travel/ibaraki/taoyuan-city", "12Go Link")</f>
        <v>12Go Link</v>
      </c>
      <c r="E6982" s="3" t="s">
        <v>3568</v>
      </c>
      <c r="K6982" s="5"/>
    </row>
    <row r="6983">
      <c r="A6983" s="3" t="s">
        <v>7214</v>
      </c>
      <c r="B6983" s="3" t="s">
        <v>7208</v>
      </c>
      <c r="C6983" s="3" t="s">
        <v>7236</v>
      </c>
      <c r="D6983" s="4" t="str">
        <f>HYPERLINK("https://12go.asia/en/travel/ibaraki/yangmingshan-national-park", "12Go Link")</f>
        <v>12Go Link</v>
      </c>
      <c r="E6983" s="3" t="s">
        <v>3568</v>
      </c>
      <c r="K6983" s="5"/>
    </row>
    <row r="6984">
      <c r="A6984" s="3" t="s">
        <v>7214</v>
      </c>
      <c r="B6984" s="3" t="s">
        <v>7210</v>
      </c>
      <c r="C6984" s="3" t="s">
        <v>7237</v>
      </c>
      <c r="D6984" s="4" t="str">
        <f>HYPERLINK("https://12go.asia/en/travel/ibaraki/yilan", "12Go Link")</f>
        <v>12Go Link</v>
      </c>
      <c r="E6984" s="3" t="s">
        <v>3568</v>
      </c>
      <c r="K6984" s="5"/>
    </row>
    <row r="6985">
      <c r="A6985" s="3" t="s">
        <v>7214</v>
      </c>
      <c r="B6985" s="3" t="s">
        <v>7212</v>
      </c>
      <c r="C6985" s="3" t="s">
        <v>7238</v>
      </c>
      <c r="D6985" s="4" t="str">
        <f>HYPERLINK("https://12go.asia/en/travel/ibaraki/zhubei", "12Go Link")</f>
        <v>12Go Link</v>
      </c>
      <c r="E6985" s="3" t="s">
        <v>3568</v>
      </c>
      <c r="K6985" s="5"/>
    </row>
    <row r="6986">
      <c r="A6986" s="3" t="s">
        <v>7214</v>
      </c>
      <c r="B6986" s="3" t="s">
        <v>5926</v>
      </c>
      <c r="C6986" s="3" t="s">
        <v>7239</v>
      </c>
      <c r="D6986" s="4" t="str">
        <f>HYPERLINK("https://12go.asia/en/travel/ibaraki/bangkok-airport", "12Go Link")</f>
        <v>12Go Link</v>
      </c>
      <c r="E6986" s="3" t="s">
        <v>3568</v>
      </c>
      <c r="K6986" s="5"/>
    </row>
    <row r="6987">
      <c r="A6987" s="3" t="s">
        <v>7214</v>
      </c>
      <c r="B6987" s="3" t="s">
        <v>5928</v>
      </c>
      <c r="C6987" s="3" t="s">
        <v>7240</v>
      </c>
      <c r="D6987" s="4" t="str">
        <f>HYPERLINK("https://12go.asia/en/travel/ibaraki/don-mueang-airport", "12Go Link")</f>
        <v>12Go Link</v>
      </c>
      <c r="E6987" s="3" t="s">
        <v>3568</v>
      </c>
      <c r="K6987" s="5"/>
    </row>
    <row r="6988">
      <c r="A6988" s="3" t="s">
        <v>7214</v>
      </c>
      <c r="B6988" s="3" t="s">
        <v>5930</v>
      </c>
      <c r="C6988" s="3" t="s">
        <v>7241</v>
      </c>
      <c r="D6988" s="4" t="str">
        <f>HYPERLINK("https://12go.asia/en/travel/ibaraki/rangsit", "12Go Link")</f>
        <v>12Go Link</v>
      </c>
      <c r="E6988" s="3" t="s">
        <v>3568</v>
      </c>
      <c r="K6988" s="5"/>
    </row>
    <row r="6989">
      <c r="A6989" s="3" t="s">
        <v>7242</v>
      </c>
      <c r="B6989" s="3" t="s">
        <v>3566</v>
      </c>
      <c r="C6989" s="3" t="s">
        <v>7243</v>
      </c>
      <c r="D6989" s="4" t="str">
        <f>HYPERLINK("https://12go.asia/en/travel/ichikawa-chiba/bandar-sunway", "12Go Link")</f>
        <v>12Go Link</v>
      </c>
      <c r="E6989" s="3" t="s">
        <v>3568</v>
      </c>
      <c r="K6989" s="5"/>
    </row>
    <row r="6990">
      <c r="A6990" s="3" t="s">
        <v>7242</v>
      </c>
      <c r="B6990" s="3" t="s">
        <v>3569</v>
      </c>
      <c r="C6990" s="3" t="s">
        <v>7244</v>
      </c>
      <c r="D6990" s="4" t="str">
        <f>HYPERLINK("https://12go.asia/en/travel/ichikawa-chiba/klang", "12Go Link")</f>
        <v>12Go Link</v>
      </c>
      <c r="E6990" s="3" t="s">
        <v>3568</v>
      </c>
      <c r="K6990" s="5"/>
    </row>
    <row r="6991">
      <c r="A6991" s="3" t="s">
        <v>7242</v>
      </c>
      <c r="B6991" s="3" t="s">
        <v>6975</v>
      </c>
      <c r="C6991" s="3" t="s">
        <v>7245</v>
      </c>
      <c r="D6991" s="4" t="str">
        <f>HYPERLINK("https://12go.asia/en/travel/ichikawa-chiba/klia", "12Go Link")</f>
        <v>12Go Link</v>
      </c>
      <c r="E6991" s="3" t="s">
        <v>3568</v>
      </c>
      <c r="K6991" s="5"/>
    </row>
    <row r="6992">
      <c r="A6992" s="3" t="s">
        <v>7242</v>
      </c>
      <c r="B6992" s="3" t="s">
        <v>6870</v>
      </c>
      <c r="C6992" s="3" t="s">
        <v>7246</v>
      </c>
      <c r="D6992" s="4" t="str">
        <f>HYPERLINK("https://12go.asia/en/travel/ichikawa-chiba/klia-ii", "12Go Link")</f>
        <v>12Go Link</v>
      </c>
      <c r="E6992" s="3" t="s">
        <v>3568</v>
      </c>
      <c r="K6992" s="5"/>
    </row>
    <row r="6993">
      <c r="A6993" s="3" t="s">
        <v>7242</v>
      </c>
      <c r="B6993" s="3" t="s">
        <v>7219</v>
      </c>
      <c r="C6993" s="3" t="s">
        <v>7247</v>
      </c>
      <c r="D6993" s="4" t="str">
        <f>HYPERLINK("https://12go.asia/en/travel/ichikawa-chiba/kuala-lumpur", "12Go Link")</f>
        <v>12Go Link</v>
      </c>
      <c r="E6993" s="3" t="s">
        <v>3568</v>
      </c>
      <c r="K6993" s="5"/>
    </row>
    <row r="6994">
      <c r="A6994" s="3" t="s">
        <v>7242</v>
      </c>
      <c r="B6994" s="3" t="s">
        <v>6978</v>
      </c>
      <c r="C6994" s="3" t="s">
        <v>7248</v>
      </c>
      <c r="D6994" s="4" t="str">
        <f>HYPERLINK("https://12go.asia/en/travel/ichikawa-chiba/kuala-lumpur-airport", "12Go Link")</f>
        <v>12Go Link</v>
      </c>
      <c r="E6994" s="3" t="s">
        <v>3568</v>
      </c>
      <c r="K6994" s="5"/>
    </row>
    <row r="6995">
      <c r="A6995" s="3" t="s">
        <v>7242</v>
      </c>
      <c r="B6995" s="3" t="s">
        <v>3571</v>
      </c>
      <c r="C6995" s="3" t="s">
        <v>7249</v>
      </c>
      <c r="D6995" s="4" t="str">
        <f>HYPERLINK("https://12go.asia/en/travel/ichikawa-chiba/kuala-lumpur-sentral", "12Go Link")</f>
        <v>12Go Link</v>
      </c>
      <c r="E6995" s="3" t="s">
        <v>3568</v>
      </c>
      <c r="K6995" s="5"/>
    </row>
    <row r="6996">
      <c r="A6996" s="3" t="s">
        <v>7242</v>
      </c>
      <c r="B6996" s="3" t="s">
        <v>3573</v>
      </c>
      <c r="C6996" s="3" t="s">
        <v>7250</v>
      </c>
      <c r="D6996" s="4" t="str">
        <f>HYPERLINK("https://12go.asia/en/travel/ichikawa-chiba/putrajaya", "12Go Link")</f>
        <v>12Go Link</v>
      </c>
      <c r="E6996" s="3" t="s">
        <v>3568</v>
      </c>
      <c r="K6996" s="5"/>
    </row>
    <row r="6997">
      <c r="A6997" s="3" t="s">
        <v>7242</v>
      </c>
      <c r="B6997" s="3" t="s">
        <v>3575</v>
      </c>
      <c r="C6997" s="3" t="s">
        <v>7251</v>
      </c>
      <c r="D6997" s="4" t="str">
        <f>HYPERLINK("https://12go.asia/en/travel/ichikawa-chiba/seremban", "12Go Link")</f>
        <v>12Go Link</v>
      </c>
      <c r="E6997" s="3" t="s">
        <v>3568</v>
      </c>
      <c r="K6997" s="5"/>
    </row>
    <row r="6998">
      <c r="A6998" s="3" t="s">
        <v>7242</v>
      </c>
      <c r="B6998" s="3" t="s">
        <v>7225</v>
      </c>
      <c r="C6998" s="3" t="s">
        <v>7252</v>
      </c>
      <c r="D6998" s="4" t="str">
        <f>HYPERLINK("https://12go.asia/en/travel/ichikawa-chiba/banqiao", "12Go Link")</f>
        <v>12Go Link</v>
      </c>
      <c r="E6998" s="3" t="s">
        <v>3568</v>
      </c>
      <c r="K6998" s="5"/>
    </row>
    <row r="6999">
      <c r="A6999" s="3" t="s">
        <v>7242</v>
      </c>
      <c r="B6999" s="3" t="s">
        <v>7227</v>
      </c>
      <c r="C6999" s="3" t="s">
        <v>7253</v>
      </c>
      <c r="D6999" s="4" t="str">
        <f>HYPERLINK("https://12go.asia/en/travel/ichikawa-chiba/hsinchu", "12Go Link")</f>
        <v>12Go Link</v>
      </c>
      <c r="E6999" s="3" t="s">
        <v>3568</v>
      </c>
      <c r="K6999" s="5"/>
    </row>
    <row r="7000">
      <c r="A7000" s="3" t="s">
        <v>7242</v>
      </c>
      <c r="B7000" s="3" t="s">
        <v>7229</v>
      </c>
      <c r="C7000" s="3" t="s">
        <v>7254</v>
      </c>
      <c r="D7000" s="4" t="str">
        <f>HYPERLINK("https://12go.asia/en/travel/ichikawa-chiba/jiaoxi", "12Go Link")</f>
        <v>12Go Link</v>
      </c>
      <c r="E7000" s="3" t="s">
        <v>3568</v>
      </c>
      <c r="K7000" s="5"/>
    </row>
    <row r="7001">
      <c r="A7001" s="3" t="s">
        <v>7242</v>
      </c>
      <c r="B7001" s="3" t="s">
        <v>7231</v>
      </c>
      <c r="C7001" s="3" t="s">
        <v>7255</v>
      </c>
      <c r="D7001" s="4" t="str">
        <f>HYPERLINK("https://12go.asia/en/travel/ichikawa-chiba/keelung", "12Go Link")</f>
        <v>12Go Link</v>
      </c>
      <c r="E7001" s="3" t="s">
        <v>3568</v>
      </c>
      <c r="K7001" s="5"/>
    </row>
    <row r="7002">
      <c r="A7002" s="3" t="s">
        <v>7242</v>
      </c>
      <c r="B7002" s="3" t="s">
        <v>7198</v>
      </c>
      <c r="C7002" s="3" t="s">
        <v>7256</v>
      </c>
      <c r="D7002" s="4" t="str">
        <f>HYPERLINK("https://12go.asia/en/travel/ichikawa-chiba/nangang", "12Go Link")</f>
        <v>12Go Link</v>
      </c>
      <c r="E7002" s="3" t="s">
        <v>3568</v>
      </c>
      <c r="K7002" s="5"/>
    </row>
    <row r="7003">
      <c r="A7003" s="3" t="s">
        <v>7242</v>
      </c>
      <c r="B7003" s="3" t="s">
        <v>7200</v>
      </c>
      <c r="C7003" s="3" t="s">
        <v>7257</v>
      </c>
      <c r="D7003" s="4" t="str">
        <f>HYPERLINK("https://12go.asia/en/travel/ichikawa-chiba/new-taipei", "12Go Link")</f>
        <v>12Go Link</v>
      </c>
      <c r="E7003" s="3" t="s">
        <v>3568</v>
      </c>
      <c r="K7003" s="5"/>
    </row>
    <row r="7004">
      <c r="A7004" s="3" t="s">
        <v>7242</v>
      </c>
      <c r="B7004" s="3" t="s">
        <v>7202</v>
      </c>
      <c r="C7004" s="3" t="s">
        <v>7258</v>
      </c>
      <c r="D7004" s="4" t="str">
        <f>HYPERLINK("https://12go.asia/en/travel/ichikawa-chiba/taipei", "12Go Link")</f>
        <v>12Go Link</v>
      </c>
      <c r="E7004" s="3" t="s">
        <v>3568</v>
      </c>
      <c r="K7004" s="5"/>
    </row>
    <row r="7005">
      <c r="A7005" s="3" t="s">
        <v>7242</v>
      </c>
      <c r="B7005" s="3" t="s">
        <v>7204</v>
      </c>
      <c r="C7005" s="3" t="s">
        <v>7259</v>
      </c>
      <c r="D7005" s="4" t="str">
        <f>HYPERLINK("https://12go.asia/en/travel/ichikawa-chiba/taoyuan-airport", "12Go Link")</f>
        <v>12Go Link</v>
      </c>
      <c r="E7005" s="3" t="s">
        <v>3568</v>
      </c>
      <c r="K7005" s="5"/>
    </row>
    <row r="7006">
      <c r="A7006" s="3" t="s">
        <v>7242</v>
      </c>
      <c r="B7006" s="3" t="s">
        <v>7206</v>
      </c>
      <c r="C7006" s="3" t="s">
        <v>7260</v>
      </c>
      <c r="D7006" s="4" t="str">
        <f>HYPERLINK("https://12go.asia/en/travel/ichikawa-chiba/taoyuan-city", "12Go Link")</f>
        <v>12Go Link</v>
      </c>
      <c r="E7006" s="3" t="s">
        <v>3568</v>
      </c>
      <c r="K7006" s="5"/>
    </row>
    <row r="7007">
      <c r="A7007" s="3" t="s">
        <v>7242</v>
      </c>
      <c r="B7007" s="3" t="s">
        <v>7208</v>
      </c>
      <c r="C7007" s="3" t="s">
        <v>7261</v>
      </c>
      <c r="D7007" s="4" t="str">
        <f>HYPERLINK("https://12go.asia/en/travel/ichikawa-chiba/yangmingshan-national-park", "12Go Link")</f>
        <v>12Go Link</v>
      </c>
      <c r="E7007" s="3" t="s">
        <v>3568</v>
      </c>
      <c r="K7007" s="5"/>
    </row>
    <row r="7008">
      <c r="A7008" s="3" t="s">
        <v>7242</v>
      </c>
      <c r="B7008" s="3" t="s">
        <v>7210</v>
      </c>
      <c r="C7008" s="3" t="s">
        <v>7262</v>
      </c>
      <c r="D7008" s="4" t="str">
        <f>HYPERLINK("https://12go.asia/en/travel/ichikawa-chiba/yilan", "12Go Link")</f>
        <v>12Go Link</v>
      </c>
      <c r="E7008" s="3" t="s">
        <v>3568</v>
      </c>
      <c r="K7008" s="5"/>
    </row>
    <row r="7009">
      <c r="A7009" s="3" t="s">
        <v>7242</v>
      </c>
      <c r="B7009" s="3" t="s">
        <v>7212</v>
      </c>
      <c r="C7009" s="3" t="s">
        <v>7263</v>
      </c>
      <c r="D7009" s="4" t="str">
        <f>HYPERLINK("https://12go.asia/en/travel/ichikawa-chiba/zhubei", "12Go Link")</f>
        <v>12Go Link</v>
      </c>
      <c r="E7009" s="3" t="s">
        <v>3568</v>
      </c>
      <c r="K7009" s="5"/>
    </row>
    <row r="7010">
      <c r="A7010" s="3" t="s">
        <v>7242</v>
      </c>
      <c r="B7010" s="3" t="s">
        <v>238</v>
      </c>
      <c r="C7010" s="3" t="s">
        <v>7264</v>
      </c>
      <c r="D7010" s="4" t="str">
        <f>HYPERLINK("https://12go.asia/en/travel/ichikawa-chiba/bangkok", "12Go Link")</f>
        <v>12Go Link</v>
      </c>
      <c r="E7010" s="3" t="s">
        <v>3568</v>
      </c>
      <c r="K7010" s="5"/>
    </row>
    <row r="7011">
      <c r="A7011" s="3" t="s">
        <v>7242</v>
      </c>
      <c r="B7011" s="3" t="s">
        <v>5926</v>
      </c>
      <c r="C7011" s="3" t="s">
        <v>7265</v>
      </c>
      <c r="D7011" s="4" t="str">
        <f>HYPERLINK("https://12go.asia/en/travel/ichikawa-chiba/bangkok-airport", "12Go Link")</f>
        <v>12Go Link</v>
      </c>
      <c r="E7011" s="3" t="s">
        <v>3568</v>
      </c>
      <c r="K7011" s="5"/>
    </row>
    <row r="7012">
      <c r="A7012" s="3" t="s">
        <v>7242</v>
      </c>
      <c r="B7012" s="3" t="s">
        <v>5928</v>
      </c>
      <c r="C7012" s="3" t="s">
        <v>7266</v>
      </c>
      <c r="D7012" s="4" t="str">
        <f>HYPERLINK("https://12go.asia/en/travel/ichikawa-chiba/don-mueang-airport", "12Go Link")</f>
        <v>12Go Link</v>
      </c>
      <c r="E7012" s="3" t="s">
        <v>3568</v>
      </c>
      <c r="K7012" s="5"/>
    </row>
    <row r="7013">
      <c r="A7013" s="3" t="s">
        <v>7242</v>
      </c>
      <c r="B7013" s="3" t="s">
        <v>5930</v>
      </c>
      <c r="C7013" s="3" t="s">
        <v>7267</v>
      </c>
      <c r="D7013" s="4" t="str">
        <f>HYPERLINK("https://12go.asia/en/travel/ichikawa-chiba/rangsit", "12Go Link")</f>
        <v>12Go Link</v>
      </c>
      <c r="E7013" s="3" t="s">
        <v>3568</v>
      </c>
      <c r="K7013" s="5"/>
    </row>
    <row r="7014">
      <c r="A7014" s="3" t="s">
        <v>7268</v>
      </c>
      <c r="B7014" s="3" t="s">
        <v>7189</v>
      </c>
      <c r="C7014" s="3" t="s">
        <v>7269</v>
      </c>
      <c r="D7014" s="4" t="str">
        <f>HYPERLINK("https://12go.asia/en/travel/Kokubunji/Hachioji", "12Go Link")</f>
        <v>12Go Link</v>
      </c>
      <c r="E7014" s="3" t="s">
        <v>7192</v>
      </c>
      <c r="K7014" s="5"/>
    </row>
    <row r="7015">
      <c r="A7015" s="3" t="s">
        <v>7268</v>
      </c>
      <c r="B7015" s="3" t="s">
        <v>7190</v>
      </c>
      <c r="C7015" s="3" t="s">
        <v>7270</v>
      </c>
      <c r="D7015" s="4" t="str">
        <f>HYPERLINK("https://12go.asia/en/travel/Kokubunji/Fujisan", "12Go Link")</f>
        <v>12Go Link</v>
      </c>
      <c r="E7015" s="3" t="s">
        <v>7192</v>
      </c>
      <c r="K7015" s="5"/>
    </row>
    <row r="7016">
      <c r="A7016" s="3" t="s">
        <v>7268</v>
      </c>
      <c r="B7016" s="3" t="s">
        <v>7193</v>
      </c>
      <c r="C7016" s="3" t="s">
        <v>7271</v>
      </c>
      <c r="D7016" s="4" t="str">
        <f>HYPERLINK("https://12go.asia/en/travel/Kokubunji/Otsuki", "12Go Link")</f>
        <v>12Go Link</v>
      </c>
      <c r="E7016" s="3" t="s">
        <v>7192</v>
      </c>
      <c r="K7016" s="5"/>
    </row>
    <row r="7017">
      <c r="A7017" s="3" t="s">
        <v>7268</v>
      </c>
      <c r="B7017" s="3" t="s">
        <v>7272</v>
      </c>
      <c r="C7017" s="3" t="s">
        <v>7273</v>
      </c>
      <c r="D7017" s="4" t="str">
        <f>HYPERLINK("https://12go.asia/en/travel/Kokubunji/Tachikawa", "12Go Link")</f>
        <v>12Go Link</v>
      </c>
      <c r="E7017" s="3" t="s">
        <v>7192</v>
      </c>
      <c r="K7017" s="5"/>
    </row>
    <row r="7018">
      <c r="A7018" s="3" t="s">
        <v>7268</v>
      </c>
      <c r="B7018" s="3" t="s">
        <v>7195</v>
      </c>
      <c r="C7018" s="3" t="s">
        <v>7274</v>
      </c>
      <c r="D7018" s="4" t="str">
        <f>HYPERLINK("https://12go.asia/en/travel/Kokubunji/Uenohara", "12Go Link")</f>
        <v>12Go Link</v>
      </c>
      <c r="E7018" s="3" t="s">
        <v>7192</v>
      </c>
      <c r="K7018" s="5"/>
    </row>
    <row r="7019">
      <c r="A7019" s="3" t="s">
        <v>7275</v>
      </c>
      <c r="B7019" s="3" t="s">
        <v>3566</v>
      </c>
      <c r="C7019" s="3" t="s">
        <v>7276</v>
      </c>
      <c r="D7019" s="4" t="str">
        <f>HYPERLINK("https://12go.asia/en/travel/narita-city/bandar-sunway", "12Go Link")</f>
        <v>12Go Link</v>
      </c>
      <c r="E7019" s="3" t="s">
        <v>3568</v>
      </c>
      <c r="K7019" s="5"/>
    </row>
    <row r="7020">
      <c r="A7020" s="3" t="s">
        <v>7275</v>
      </c>
      <c r="B7020" s="3" t="s">
        <v>3569</v>
      </c>
      <c r="C7020" s="3" t="s">
        <v>7277</v>
      </c>
      <c r="D7020" s="4" t="str">
        <f>HYPERLINK("https://12go.asia/en/travel/narita-city/klang", "12Go Link")</f>
        <v>12Go Link</v>
      </c>
      <c r="E7020" s="3" t="s">
        <v>3568</v>
      </c>
      <c r="K7020" s="5"/>
    </row>
    <row r="7021">
      <c r="A7021" s="3" t="s">
        <v>7275</v>
      </c>
      <c r="B7021" s="3" t="s">
        <v>6975</v>
      </c>
      <c r="C7021" s="3" t="s">
        <v>7278</v>
      </c>
      <c r="D7021" s="4" t="str">
        <f>HYPERLINK("https://12go.asia/en/travel/narita-city/klia", "12Go Link")</f>
        <v>12Go Link</v>
      </c>
      <c r="E7021" s="3" t="s">
        <v>3568</v>
      </c>
      <c r="K7021" s="5"/>
    </row>
    <row r="7022">
      <c r="A7022" s="3" t="s">
        <v>7275</v>
      </c>
      <c r="B7022" s="3" t="s">
        <v>6870</v>
      </c>
      <c r="C7022" s="3" t="s">
        <v>7279</v>
      </c>
      <c r="D7022" s="4" t="str">
        <f>HYPERLINK("https://12go.asia/en/travel/narita-city/klia-ii", "12Go Link")</f>
        <v>12Go Link</v>
      </c>
      <c r="E7022" s="3" t="s">
        <v>3568</v>
      </c>
      <c r="K7022" s="5"/>
    </row>
    <row r="7023">
      <c r="A7023" s="3" t="s">
        <v>7275</v>
      </c>
      <c r="B7023" s="3" t="s">
        <v>7219</v>
      </c>
      <c r="C7023" s="3" t="s">
        <v>7280</v>
      </c>
      <c r="D7023" s="4" t="str">
        <f>HYPERLINK("https://12go.asia/en/travel/narita-city/kuala-lumpur", "12Go Link")</f>
        <v>12Go Link</v>
      </c>
      <c r="E7023" s="3" t="s">
        <v>3568</v>
      </c>
      <c r="K7023" s="5"/>
    </row>
    <row r="7024">
      <c r="A7024" s="3" t="s">
        <v>7275</v>
      </c>
      <c r="B7024" s="3" t="s">
        <v>6978</v>
      </c>
      <c r="C7024" s="3" t="s">
        <v>7281</v>
      </c>
      <c r="D7024" s="4" t="str">
        <f>HYPERLINK("https://12go.asia/en/travel/narita-city/kuala-lumpur-airport", "12Go Link")</f>
        <v>12Go Link</v>
      </c>
      <c r="E7024" s="3" t="s">
        <v>3568</v>
      </c>
      <c r="K7024" s="5"/>
    </row>
    <row r="7025">
      <c r="A7025" s="3" t="s">
        <v>7275</v>
      </c>
      <c r="B7025" s="3" t="s">
        <v>3571</v>
      </c>
      <c r="C7025" s="3" t="s">
        <v>7282</v>
      </c>
      <c r="D7025" s="4" t="str">
        <f>HYPERLINK("https://12go.asia/en/travel/narita-city/kuala-lumpur-sentral", "12Go Link")</f>
        <v>12Go Link</v>
      </c>
      <c r="E7025" s="3" t="s">
        <v>3568</v>
      </c>
      <c r="K7025" s="5"/>
    </row>
    <row r="7026">
      <c r="A7026" s="3" t="s">
        <v>7275</v>
      </c>
      <c r="B7026" s="3" t="s">
        <v>3573</v>
      </c>
      <c r="C7026" s="3" t="s">
        <v>7283</v>
      </c>
      <c r="D7026" s="4" t="str">
        <f>HYPERLINK("https://12go.asia/en/travel/narita-city/putrajaya", "12Go Link")</f>
        <v>12Go Link</v>
      </c>
      <c r="E7026" s="3" t="s">
        <v>3568</v>
      </c>
      <c r="K7026" s="5"/>
    </row>
    <row r="7027">
      <c r="A7027" s="3" t="s">
        <v>7275</v>
      </c>
      <c r="B7027" s="3" t="s">
        <v>3575</v>
      </c>
      <c r="C7027" s="3" t="s">
        <v>7284</v>
      </c>
      <c r="D7027" s="4" t="str">
        <f>HYPERLINK("https://12go.asia/en/travel/narita-city/seremban", "12Go Link")</f>
        <v>12Go Link</v>
      </c>
      <c r="E7027" s="3" t="s">
        <v>3568</v>
      </c>
      <c r="K7027" s="5"/>
    </row>
    <row r="7028">
      <c r="A7028" s="3" t="s">
        <v>7275</v>
      </c>
      <c r="B7028" s="3" t="s">
        <v>7225</v>
      </c>
      <c r="C7028" s="3" t="s">
        <v>7285</v>
      </c>
      <c r="D7028" s="4" t="str">
        <f>HYPERLINK("https://12go.asia/en/travel/narita-city/banqiao", "12Go Link")</f>
        <v>12Go Link</v>
      </c>
      <c r="E7028" s="3" t="s">
        <v>3568</v>
      </c>
      <c r="K7028" s="5"/>
    </row>
    <row r="7029">
      <c r="A7029" s="3" t="s">
        <v>7275</v>
      </c>
      <c r="B7029" s="3" t="s">
        <v>7227</v>
      </c>
      <c r="C7029" s="3" t="s">
        <v>7286</v>
      </c>
      <c r="D7029" s="4" t="str">
        <f>HYPERLINK("https://12go.asia/en/travel/narita-city/hsinchu", "12Go Link")</f>
        <v>12Go Link</v>
      </c>
      <c r="E7029" s="3" t="s">
        <v>3568</v>
      </c>
      <c r="K7029" s="5"/>
    </row>
    <row r="7030">
      <c r="A7030" s="3" t="s">
        <v>7275</v>
      </c>
      <c r="B7030" s="3" t="s">
        <v>7229</v>
      </c>
      <c r="C7030" s="3" t="s">
        <v>7287</v>
      </c>
      <c r="D7030" s="4" t="str">
        <f>HYPERLINK("https://12go.asia/en/travel/narita-city/jiaoxi", "12Go Link")</f>
        <v>12Go Link</v>
      </c>
      <c r="E7030" s="3" t="s">
        <v>3568</v>
      </c>
      <c r="K7030" s="5"/>
    </row>
    <row r="7031">
      <c r="A7031" s="3" t="s">
        <v>7275</v>
      </c>
      <c r="B7031" s="3" t="s">
        <v>7231</v>
      </c>
      <c r="C7031" s="3" t="s">
        <v>7288</v>
      </c>
      <c r="D7031" s="4" t="str">
        <f>HYPERLINK("https://12go.asia/en/travel/narita-city/keelung", "12Go Link")</f>
        <v>12Go Link</v>
      </c>
      <c r="E7031" s="3" t="s">
        <v>3568</v>
      </c>
      <c r="K7031" s="5"/>
    </row>
    <row r="7032">
      <c r="A7032" s="3" t="s">
        <v>7275</v>
      </c>
      <c r="B7032" s="3" t="s">
        <v>7198</v>
      </c>
      <c r="C7032" s="3" t="s">
        <v>7289</v>
      </c>
      <c r="D7032" s="4" t="str">
        <f>HYPERLINK("https://12go.asia/en/travel/narita-city/nangang", "12Go Link")</f>
        <v>12Go Link</v>
      </c>
      <c r="E7032" s="3" t="s">
        <v>3568</v>
      </c>
      <c r="K7032" s="5"/>
    </row>
    <row r="7033">
      <c r="A7033" s="3" t="s">
        <v>7275</v>
      </c>
      <c r="B7033" s="3" t="s">
        <v>7200</v>
      </c>
      <c r="C7033" s="3" t="s">
        <v>7290</v>
      </c>
      <c r="D7033" s="4" t="str">
        <f>HYPERLINK("https://12go.asia/en/travel/narita-city/new-taipei", "12Go Link")</f>
        <v>12Go Link</v>
      </c>
      <c r="E7033" s="3" t="s">
        <v>3568</v>
      </c>
      <c r="K7033" s="5"/>
    </row>
    <row r="7034">
      <c r="A7034" s="3" t="s">
        <v>7275</v>
      </c>
      <c r="B7034" s="3" t="s">
        <v>7202</v>
      </c>
      <c r="C7034" s="3" t="s">
        <v>7291</v>
      </c>
      <c r="D7034" s="4" t="str">
        <f>HYPERLINK("https://12go.asia/en/travel/narita-city/taipei", "12Go Link")</f>
        <v>12Go Link</v>
      </c>
      <c r="E7034" s="3" t="s">
        <v>3568</v>
      </c>
      <c r="K7034" s="5"/>
    </row>
    <row r="7035">
      <c r="A7035" s="3" t="s">
        <v>7275</v>
      </c>
      <c r="B7035" s="3" t="s">
        <v>7204</v>
      </c>
      <c r="C7035" s="3" t="s">
        <v>7292</v>
      </c>
      <c r="D7035" s="4" t="str">
        <f>HYPERLINK("https://12go.asia/en/travel/narita-city/taoyuan-airport", "12Go Link")</f>
        <v>12Go Link</v>
      </c>
      <c r="E7035" s="3" t="s">
        <v>3568</v>
      </c>
      <c r="K7035" s="5"/>
    </row>
    <row r="7036">
      <c r="A7036" s="3" t="s">
        <v>7275</v>
      </c>
      <c r="B7036" s="3" t="s">
        <v>7206</v>
      </c>
      <c r="C7036" s="3" t="s">
        <v>7293</v>
      </c>
      <c r="D7036" s="4" t="str">
        <f>HYPERLINK("https://12go.asia/en/travel/narita-city/taoyuan-city", "12Go Link")</f>
        <v>12Go Link</v>
      </c>
      <c r="E7036" s="3" t="s">
        <v>3568</v>
      </c>
      <c r="K7036" s="5"/>
    </row>
    <row r="7037">
      <c r="A7037" s="3" t="s">
        <v>7275</v>
      </c>
      <c r="B7037" s="3" t="s">
        <v>7208</v>
      </c>
      <c r="C7037" s="3" t="s">
        <v>7294</v>
      </c>
      <c r="D7037" s="4" t="str">
        <f>HYPERLINK("https://12go.asia/en/travel/narita-city/yangmingshan-national-park", "12Go Link")</f>
        <v>12Go Link</v>
      </c>
      <c r="E7037" s="3" t="s">
        <v>3568</v>
      </c>
      <c r="K7037" s="5"/>
    </row>
    <row r="7038">
      <c r="A7038" s="3" t="s">
        <v>7275</v>
      </c>
      <c r="B7038" s="3" t="s">
        <v>7210</v>
      </c>
      <c r="C7038" s="3" t="s">
        <v>7295</v>
      </c>
      <c r="D7038" s="4" t="str">
        <f>HYPERLINK("https://12go.asia/en/travel/narita-city/yilan", "12Go Link")</f>
        <v>12Go Link</v>
      </c>
      <c r="E7038" s="3" t="s">
        <v>3568</v>
      </c>
      <c r="K7038" s="5"/>
    </row>
    <row r="7039">
      <c r="A7039" s="3" t="s">
        <v>7275</v>
      </c>
      <c r="B7039" s="3" t="s">
        <v>7212</v>
      </c>
      <c r="C7039" s="3" t="s">
        <v>7296</v>
      </c>
      <c r="D7039" s="4" t="str">
        <f>HYPERLINK("https://12go.asia/en/travel/narita-city/zhubei", "12Go Link")</f>
        <v>12Go Link</v>
      </c>
      <c r="E7039" s="3" t="s">
        <v>3568</v>
      </c>
      <c r="K7039" s="5"/>
    </row>
    <row r="7040">
      <c r="A7040" s="3" t="s">
        <v>7275</v>
      </c>
      <c r="B7040" s="3" t="s">
        <v>5926</v>
      </c>
      <c r="C7040" s="3" t="s">
        <v>7297</v>
      </c>
      <c r="D7040" s="4" t="str">
        <f>HYPERLINK("https://12go.asia/en/travel/narita-city/bangkok-airport", "12Go Link")</f>
        <v>12Go Link</v>
      </c>
      <c r="E7040" s="3" t="s">
        <v>3568</v>
      </c>
      <c r="K7040" s="5"/>
    </row>
    <row r="7041">
      <c r="A7041" s="3" t="s">
        <v>7275</v>
      </c>
      <c r="B7041" s="3" t="s">
        <v>5928</v>
      </c>
      <c r="C7041" s="3" t="s">
        <v>7298</v>
      </c>
      <c r="D7041" s="4" t="str">
        <f>HYPERLINK("https://12go.asia/en/travel/narita-city/don-mueang-airport", "12Go Link")</f>
        <v>12Go Link</v>
      </c>
      <c r="E7041" s="3" t="s">
        <v>3568</v>
      </c>
      <c r="K7041" s="5"/>
    </row>
    <row r="7042">
      <c r="A7042" s="3" t="s">
        <v>7275</v>
      </c>
      <c r="B7042" s="3" t="s">
        <v>5930</v>
      </c>
      <c r="C7042" s="3" t="s">
        <v>7299</v>
      </c>
      <c r="D7042" s="4" t="str">
        <f>HYPERLINK("https://12go.asia/en/travel/narita-city/rangsit", "12Go Link")</f>
        <v>12Go Link</v>
      </c>
      <c r="E7042" s="3" t="s">
        <v>3568</v>
      </c>
      <c r="K7042" s="5"/>
    </row>
    <row r="7043">
      <c r="A7043" s="3" t="s">
        <v>7300</v>
      </c>
      <c r="B7043" s="3" t="s">
        <v>7301</v>
      </c>
      <c r="C7043" s="3" t="s">
        <v>7302</v>
      </c>
      <c r="D7043" s="4" t="str">
        <f>HYPERLINK("https://12go.asia/en/travel/Kaiyukan-West-Pier/Universal-City-Port", "12Go Link")</f>
        <v>12Go Link</v>
      </c>
      <c r="E7043" s="3" t="s">
        <v>6878</v>
      </c>
      <c r="K7043" s="5"/>
    </row>
    <row r="7044">
      <c r="A7044" s="3" t="s">
        <v>7193</v>
      </c>
      <c r="B7044" s="3" t="s">
        <v>7190</v>
      </c>
      <c r="C7044" s="3" t="s">
        <v>7303</v>
      </c>
      <c r="D7044" s="4" t="str">
        <f>HYPERLINK("https://12go.asia/en/travel/Otsuki/Fujisan", "12Go Link")</f>
        <v>12Go Link</v>
      </c>
      <c r="E7044" s="3" t="s">
        <v>7192</v>
      </c>
      <c r="K7044" s="5"/>
    </row>
    <row r="7045">
      <c r="A7045" s="3" t="s">
        <v>7272</v>
      </c>
      <c r="B7045" s="3" t="s">
        <v>7189</v>
      </c>
      <c r="C7045" s="3" t="s">
        <v>7304</v>
      </c>
      <c r="D7045" s="4" t="str">
        <f>HYPERLINK("https://12go.asia/en/travel/Tachikawa/Hachioji", "12Go Link")</f>
        <v>12Go Link</v>
      </c>
      <c r="E7045" s="3" t="s">
        <v>7192</v>
      </c>
      <c r="K7045" s="5"/>
    </row>
    <row r="7046">
      <c r="A7046" s="3" t="s">
        <v>7272</v>
      </c>
      <c r="B7046" s="3" t="s">
        <v>7190</v>
      </c>
      <c r="C7046" s="3" t="s">
        <v>7305</v>
      </c>
      <c r="D7046" s="4" t="str">
        <f>HYPERLINK("https://12go.asia/en/travel/Tachikawa/Fujisan", "12Go Link")</f>
        <v>12Go Link</v>
      </c>
      <c r="E7046" s="3" t="s">
        <v>7192</v>
      </c>
      <c r="K7046" s="5"/>
    </row>
    <row r="7047">
      <c r="A7047" s="3" t="s">
        <v>7272</v>
      </c>
      <c r="B7047" s="3" t="s">
        <v>7193</v>
      </c>
      <c r="C7047" s="3" t="s">
        <v>7306</v>
      </c>
      <c r="D7047" s="4" t="str">
        <f>HYPERLINK("https://12go.asia/en/travel/Tachikawa/Otsuki", "12Go Link")</f>
        <v>12Go Link</v>
      </c>
      <c r="E7047" s="3" t="s">
        <v>7192</v>
      </c>
      <c r="K7047" s="5"/>
    </row>
    <row r="7048">
      <c r="A7048" s="3" t="s">
        <v>7272</v>
      </c>
      <c r="B7048" s="3" t="s">
        <v>7195</v>
      </c>
      <c r="C7048" s="3" t="s">
        <v>7307</v>
      </c>
      <c r="D7048" s="4" t="str">
        <f>HYPERLINK("https://12go.asia/en/travel/Tachikawa/Uenohara", "12Go Link")</f>
        <v>12Go Link</v>
      </c>
      <c r="E7048" s="3" t="s">
        <v>7192</v>
      </c>
      <c r="K7048" s="5"/>
    </row>
    <row r="7049">
      <c r="A7049" s="3" t="s">
        <v>7308</v>
      </c>
      <c r="B7049" s="3" t="s">
        <v>7189</v>
      </c>
      <c r="C7049" s="3" t="s">
        <v>7309</v>
      </c>
      <c r="D7049" s="4" t="str">
        <f>HYPERLINK("https://12go.asia/en/travel/Shinjuku/Hachioji", "12Go Link")</f>
        <v>12Go Link</v>
      </c>
      <c r="E7049" s="3" t="s">
        <v>7192</v>
      </c>
      <c r="K7049" s="5"/>
    </row>
    <row r="7050">
      <c r="A7050" s="3" t="s">
        <v>7308</v>
      </c>
      <c r="B7050" s="3" t="s">
        <v>7189</v>
      </c>
      <c r="C7050" s="3" t="s">
        <v>7310</v>
      </c>
      <c r="D7050" s="4" t="str">
        <f>HYPERLINK("https://12go.asia/en/travel/Tokyo/Hachioji", "12Go Link")</f>
        <v>12Go Link</v>
      </c>
      <c r="E7050" s="3" t="s">
        <v>7192</v>
      </c>
      <c r="K7050" s="5"/>
    </row>
    <row r="7051">
      <c r="A7051" s="3" t="s">
        <v>7308</v>
      </c>
      <c r="B7051" s="3" t="s">
        <v>7268</v>
      </c>
      <c r="C7051" s="3" t="s">
        <v>7311</v>
      </c>
      <c r="D7051" s="4" t="str">
        <f>HYPERLINK("https://12go.asia/en/travel/Shinjuku/Kokubunji", "12Go Link")</f>
        <v>12Go Link</v>
      </c>
      <c r="E7051" s="3" t="s">
        <v>7192</v>
      </c>
      <c r="K7051" s="5"/>
    </row>
    <row r="7052">
      <c r="A7052" s="3" t="s">
        <v>7308</v>
      </c>
      <c r="B7052" s="3" t="s">
        <v>7268</v>
      </c>
      <c r="C7052" s="3" t="s">
        <v>7312</v>
      </c>
      <c r="D7052" s="4" t="str">
        <f>HYPERLINK("https://12go.asia/en/travel/Tokyo/Kokubunji", "12Go Link")</f>
        <v>12Go Link</v>
      </c>
      <c r="E7052" s="3" t="s">
        <v>7192</v>
      </c>
      <c r="K7052" s="5"/>
    </row>
    <row r="7053">
      <c r="A7053" s="3" t="s">
        <v>7308</v>
      </c>
      <c r="B7053" s="3" t="s">
        <v>7190</v>
      </c>
      <c r="C7053" s="3" t="s">
        <v>7313</v>
      </c>
      <c r="D7053" s="4" t="str">
        <f>HYPERLINK("https://12go.asia/en/travel/Shinjuku/Fujisan", "12Go Link")</f>
        <v>12Go Link</v>
      </c>
      <c r="E7053" s="3" t="s">
        <v>7192</v>
      </c>
      <c r="K7053" s="5"/>
    </row>
    <row r="7054">
      <c r="A7054" s="3" t="s">
        <v>7308</v>
      </c>
      <c r="B7054" s="3" t="s">
        <v>7190</v>
      </c>
      <c r="C7054" s="3" t="s">
        <v>7314</v>
      </c>
      <c r="D7054" s="4" t="str">
        <f>HYPERLINK("https://12go.asia/en/travel/Tokyo/Fujisan", "12Go Link")</f>
        <v>12Go Link</v>
      </c>
      <c r="E7054" s="3" t="s">
        <v>7192</v>
      </c>
      <c r="K7054" s="5"/>
    </row>
    <row r="7055">
      <c r="A7055" s="3" t="s">
        <v>7308</v>
      </c>
      <c r="B7055" s="3" t="s">
        <v>7193</v>
      </c>
      <c r="C7055" s="3" t="s">
        <v>7315</v>
      </c>
      <c r="D7055" s="4" t="str">
        <f>HYPERLINK("https://12go.asia/en/travel/Shinjuku/Otsuki", "12Go Link")</f>
        <v>12Go Link</v>
      </c>
      <c r="E7055" s="3" t="s">
        <v>7192</v>
      </c>
      <c r="K7055" s="5"/>
    </row>
    <row r="7056">
      <c r="A7056" s="3" t="s">
        <v>7308</v>
      </c>
      <c r="B7056" s="3" t="s">
        <v>7193</v>
      </c>
      <c r="C7056" s="3" t="s">
        <v>7316</v>
      </c>
      <c r="D7056" s="4" t="str">
        <f>HYPERLINK("https://12go.asia/en/travel/Tokyo/Otsuki", "12Go Link")</f>
        <v>12Go Link</v>
      </c>
      <c r="E7056" s="3" t="s">
        <v>7192</v>
      </c>
      <c r="K7056" s="5"/>
    </row>
    <row r="7057">
      <c r="A7057" s="3" t="s">
        <v>7308</v>
      </c>
      <c r="B7057" s="3" t="s">
        <v>7272</v>
      </c>
      <c r="C7057" s="3" t="s">
        <v>7317</v>
      </c>
      <c r="D7057" s="4" t="str">
        <f>HYPERLINK("https://12go.asia/en/travel/Shinjuku/Tachikawa", "12Go Link")</f>
        <v>12Go Link</v>
      </c>
      <c r="E7057" s="3" t="s">
        <v>7192</v>
      </c>
      <c r="K7057" s="5"/>
    </row>
    <row r="7058">
      <c r="A7058" s="3" t="s">
        <v>7308</v>
      </c>
      <c r="B7058" s="3" t="s">
        <v>7272</v>
      </c>
      <c r="C7058" s="3" t="s">
        <v>7318</v>
      </c>
      <c r="D7058" s="4" t="str">
        <f>HYPERLINK("https://12go.asia/en/travel/Tokyo/Tachikawa", "12Go Link")</f>
        <v>12Go Link</v>
      </c>
      <c r="E7058" s="3" t="s">
        <v>7192</v>
      </c>
      <c r="K7058" s="5"/>
    </row>
    <row r="7059">
      <c r="A7059" s="3" t="s">
        <v>7308</v>
      </c>
      <c r="B7059" s="3" t="s">
        <v>7195</v>
      </c>
      <c r="C7059" s="3" t="s">
        <v>7319</v>
      </c>
      <c r="D7059" s="4" t="str">
        <f>HYPERLINK("https://12go.asia/en/travel/Shinjuku/Uenohara", "12Go Link")</f>
        <v>12Go Link</v>
      </c>
      <c r="E7059" s="3" t="s">
        <v>7192</v>
      </c>
      <c r="K7059" s="5"/>
    </row>
    <row r="7060">
      <c r="A7060" s="3" t="s">
        <v>7308</v>
      </c>
      <c r="B7060" s="3" t="s">
        <v>7195</v>
      </c>
      <c r="C7060" s="3" t="s">
        <v>7320</v>
      </c>
      <c r="D7060" s="4" t="str">
        <f>HYPERLINK("https://12go.asia/en/travel/Tokyo/Uenohara", "12Go Link")</f>
        <v>12Go Link</v>
      </c>
      <c r="E7060" s="3" t="s">
        <v>7192</v>
      </c>
      <c r="K7060" s="5"/>
    </row>
    <row r="7061">
      <c r="A7061" s="3" t="s">
        <v>7195</v>
      </c>
      <c r="B7061" s="3" t="s">
        <v>7190</v>
      </c>
      <c r="C7061" s="3" t="s">
        <v>7321</v>
      </c>
      <c r="D7061" s="4" t="str">
        <f>HYPERLINK("https://12go.asia/en/travel/Uenohara/Fujisan", "12Go Link")</f>
        <v>12Go Link</v>
      </c>
      <c r="E7061" s="3" t="s">
        <v>7192</v>
      </c>
      <c r="K7061" s="5"/>
    </row>
    <row r="7062">
      <c r="A7062" s="3" t="s">
        <v>7195</v>
      </c>
      <c r="B7062" s="3" t="s">
        <v>7193</v>
      </c>
      <c r="C7062" s="3" t="s">
        <v>7322</v>
      </c>
      <c r="D7062" s="4" t="str">
        <f>HYPERLINK("https://12go.asia/en/travel/Uenohara/Otsuki", "12Go Link")</f>
        <v>12Go Link</v>
      </c>
      <c r="E7062" s="3" t="s">
        <v>7192</v>
      </c>
      <c r="K7062" s="5"/>
    </row>
    <row r="7063">
      <c r="A7063" s="3" t="s">
        <v>7301</v>
      </c>
      <c r="B7063" s="3" t="s">
        <v>7300</v>
      </c>
      <c r="C7063" s="3" t="s">
        <v>7323</v>
      </c>
      <c r="D7063" s="4" t="str">
        <f>HYPERLINK("https://12go.asia/en/travel/Universal-City-Port/Kaiyukan-West-Pier", "12Go Link")</f>
        <v>12Go Link</v>
      </c>
      <c r="E7063" s="3" t="s">
        <v>6878</v>
      </c>
      <c r="K7063" s="5"/>
    </row>
    <row r="7064">
      <c r="A7064" s="3" t="s">
        <v>338</v>
      </c>
      <c r="B7064" s="3" t="s">
        <v>234</v>
      </c>
      <c r="C7064" s="3" t="s">
        <v>7324</v>
      </c>
      <c r="D7064" s="4" t="str">
        <f>HYPERLINK("https://12go.asia/en/travel/Green-Paradise-Don-Khone/Kampong-Cham", "12Go Link")</f>
        <v>12Go Link</v>
      </c>
      <c r="E7064" s="3" t="s">
        <v>7325</v>
      </c>
      <c r="K7064" s="5"/>
    </row>
    <row r="7065">
      <c r="A7065" s="3" t="s">
        <v>338</v>
      </c>
      <c r="B7065" s="3" t="s">
        <v>220</v>
      </c>
      <c r="C7065" s="3" t="s">
        <v>7326</v>
      </c>
      <c r="D7065" s="4" t="str">
        <f>HYPERLINK("https://12go.asia/en/travel/Green-Paradise-Don-Khone/Phnom-Penh", "12Go Link")</f>
        <v>12Go Link</v>
      </c>
      <c r="E7065" s="3" t="s">
        <v>7325</v>
      </c>
      <c r="K7065" s="5"/>
    </row>
    <row r="7066">
      <c r="A7066" s="3" t="s">
        <v>338</v>
      </c>
      <c r="B7066" s="3" t="s">
        <v>276</v>
      </c>
      <c r="C7066" s="3" t="s">
        <v>7327</v>
      </c>
      <c r="D7066" s="4" t="str">
        <f>HYPERLINK("https://12go.asia/en/travel/Green-Paradise-Don-Khone/Siem-Reap-Walking-Street", "12Go Link")</f>
        <v>12Go Link</v>
      </c>
      <c r="E7066" s="3" t="s">
        <v>7325</v>
      </c>
      <c r="K7066" s="5"/>
    </row>
    <row r="7067">
      <c r="A7067" s="3" t="s">
        <v>7328</v>
      </c>
      <c r="B7067" s="3" t="s">
        <v>234</v>
      </c>
      <c r="C7067" s="3" t="s">
        <v>7329</v>
      </c>
      <c r="D7067" s="4" t="str">
        <f>HYPERLINK("https://12go.asia/en/travel/Green-Paradise-4000-Islands/Kampong-Cham", "12Go Link")</f>
        <v>12Go Link</v>
      </c>
      <c r="E7067" s="3" t="s">
        <v>7330</v>
      </c>
      <c r="K7067" s="5"/>
    </row>
    <row r="7068">
      <c r="A7068" s="3" t="s">
        <v>7328</v>
      </c>
      <c r="B7068" s="3" t="s">
        <v>220</v>
      </c>
      <c r="C7068" s="3" t="s">
        <v>7331</v>
      </c>
      <c r="D7068" s="4" t="str">
        <f>HYPERLINK("https://12go.asia/en/travel/Green-Paradise-4000-Islands/Phnom-Penh", "12Go Link")</f>
        <v>12Go Link</v>
      </c>
      <c r="E7068" s="3" t="s">
        <v>7330</v>
      </c>
      <c r="K7068" s="5"/>
    </row>
    <row r="7069">
      <c r="A7069" s="3" t="s">
        <v>7328</v>
      </c>
      <c r="B7069" s="3" t="s">
        <v>276</v>
      </c>
      <c r="C7069" s="3" t="s">
        <v>7332</v>
      </c>
      <c r="D7069" s="4" t="str">
        <f>HYPERLINK("https://12go.asia/en/travel/Green-Paradise-4000-Islands/Siem-Reap-Walking-Street", "12Go Link")</f>
        <v>12Go Link</v>
      </c>
      <c r="E7069" s="3" t="s">
        <v>7330</v>
      </c>
      <c r="K7069" s="5"/>
    </row>
    <row r="7070">
      <c r="A7070" s="3" t="s">
        <v>7328</v>
      </c>
      <c r="B7070" s="3" t="s">
        <v>7333</v>
      </c>
      <c r="C7070" s="3" t="s">
        <v>7334</v>
      </c>
      <c r="D7070" s="4" t="str">
        <f>HYPERLINK("https://12go.asia/en/travel/Green-Paradise-4000-Islands/Tad-Lo-Village", "12Go Link")</f>
        <v>12Go Link</v>
      </c>
      <c r="E7070" s="3" t="s">
        <v>7335</v>
      </c>
      <c r="K7070" s="5"/>
    </row>
    <row r="7071">
      <c r="A7071" s="3" t="s">
        <v>7328</v>
      </c>
      <c r="B7071" s="3" t="s">
        <v>7336</v>
      </c>
      <c r="C7071" s="3" t="s">
        <v>7337</v>
      </c>
      <c r="D7071" s="4" t="str">
        <f>HYPERLINK("https://12go.asia/en/travel/Green-Paradise-4000-Islands/Savannakhet-Bus-Station", "12Go Link")</f>
        <v>12Go Link</v>
      </c>
      <c r="E7071" s="3" t="s">
        <v>366</v>
      </c>
      <c r="K7071" s="5"/>
    </row>
    <row r="7072">
      <c r="A7072" s="3" t="s">
        <v>7328</v>
      </c>
      <c r="B7072" s="3" t="s">
        <v>373</v>
      </c>
      <c r="C7072" s="3" t="s">
        <v>7338</v>
      </c>
      <c r="D7072" s="4" t="str">
        <f>HYPERLINK("https://12go.asia/en/travel/Green-Paradise-4000-Islands/Thakhek", "12Go Link")</f>
        <v>12Go Link</v>
      </c>
      <c r="E7072" s="3" t="s">
        <v>7335</v>
      </c>
      <c r="K7072" s="5"/>
    </row>
    <row r="7073">
      <c r="A7073" s="3" t="s">
        <v>7328</v>
      </c>
      <c r="B7073" s="3" t="s">
        <v>376</v>
      </c>
      <c r="C7073" s="3" t="s">
        <v>7339</v>
      </c>
      <c r="D7073" s="4" t="str">
        <f>HYPERLINK("https://12go.asia/en/travel/Green-Paradise-4000-Islands/Vang-Vieng-Bus-Terminal", "12Go Link")</f>
        <v>12Go Link</v>
      </c>
      <c r="E7073" s="3" t="s">
        <v>7335</v>
      </c>
      <c r="K7073" s="5"/>
    </row>
    <row r="7074">
      <c r="A7074" s="3" t="s">
        <v>369</v>
      </c>
      <c r="B7074" s="3" t="s">
        <v>338</v>
      </c>
      <c r="C7074" s="3" t="s">
        <v>7340</v>
      </c>
      <c r="D7074" s="4" t="str">
        <f>HYPERLINK("https://12go.asia/en/travel/Green-Paradise-Nong-Nok-Khiene-Border/Champassak-Terminal-West", "12Go Link")</f>
        <v>12Go Link</v>
      </c>
      <c r="E7074" s="3" t="s">
        <v>366</v>
      </c>
      <c r="K7074" s="5"/>
    </row>
    <row r="7075">
      <c r="A7075" s="3" t="s">
        <v>369</v>
      </c>
      <c r="B7075" s="3" t="s">
        <v>338</v>
      </c>
      <c r="C7075" s="3" t="s">
        <v>7341</v>
      </c>
      <c r="D7075" s="4" t="str">
        <f>HYPERLINK("https://12go.asia/en/travel/Green-Paradise-Nong-Nok-Khiene-Border/Don-Det", "12Go Link")</f>
        <v>12Go Link</v>
      </c>
      <c r="E7075" s="3" t="s">
        <v>364</v>
      </c>
      <c r="K7075" s="5"/>
    </row>
    <row r="7076">
      <c r="A7076" s="3" t="s">
        <v>369</v>
      </c>
      <c r="B7076" s="3" t="s">
        <v>338</v>
      </c>
      <c r="C7076" s="3" t="s">
        <v>7342</v>
      </c>
      <c r="D7076" s="4" t="str">
        <f>HYPERLINK("https://12go.asia/en/travel/Green-Paradise-Nong-Nok-Khiene-Border/Don-Khone", "12Go Link")</f>
        <v>12Go Link</v>
      </c>
      <c r="E7076" s="3" t="s">
        <v>364</v>
      </c>
      <c r="K7076" s="5"/>
    </row>
    <row r="7077">
      <c r="A7077" s="3" t="s">
        <v>369</v>
      </c>
      <c r="B7077" s="3" t="s">
        <v>371</v>
      </c>
      <c r="C7077" s="3" t="s">
        <v>7343</v>
      </c>
      <c r="D7077" s="4" t="str">
        <f>HYPERLINK("https://12go.asia/en/travel/Green-Paradise-Nong-Nok-Khiene-Border/Green-Paradise-Pakse", "12Go Link")</f>
        <v>12Go Link</v>
      </c>
      <c r="E7077" s="3" t="s">
        <v>366</v>
      </c>
      <c r="K7077" s="5"/>
    </row>
    <row r="7078">
      <c r="A7078" s="3" t="s">
        <v>369</v>
      </c>
      <c r="B7078" s="3" t="s">
        <v>7336</v>
      </c>
      <c r="C7078" s="3" t="s">
        <v>7344</v>
      </c>
      <c r="D7078" s="4" t="str">
        <f>HYPERLINK("https://12go.asia/en/travel/Green-Paradise-Nong-Nok-Khiene-Border/Savannakhet-Bus-Station", "12Go Link")</f>
        <v>12Go Link</v>
      </c>
      <c r="E7078" s="3" t="s">
        <v>366</v>
      </c>
      <c r="K7078" s="5"/>
    </row>
    <row r="7079">
      <c r="A7079" s="3" t="s">
        <v>369</v>
      </c>
      <c r="B7079" s="3" t="s">
        <v>373</v>
      </c>
      <c r="C7079" s="3" t="s">
        <v>7345</v>
      </c>
      <c r="D7079" s="4" t="str">
        <f>HYPERLINK("https://12go.asia/en/travel/Green-Paradise-Nong-Nok-Khiene-Border/Thakhek", "12Go Link")</f>
        <v>12Go Link</v>
      </c>
      <c r="E7079" s="3" t="s">
        <v>375</v>
      </c>
      <c r="K7079" s="5"/>
    </row>
    <row r="7080">
      <c r="A7080" s="3" t="s">
        <v>369</v>
      </c>
      <c r="B7080" s="3" t="s">
        <v>376</v>
      </c>
      <c r="C7080" s="3" t="s">
        <v>7346</v>
      </c>
      <c r="D7080" s="4" t="str">
        <f>HYPERLINK("https://12go.asia/en/travel/Green-Paradise-Nong-Nok-Khiene-Border/Vang-Vieng-Bus-Terminal", "12Go Link")</f>
        <v>12Go Link</v>
      </c>
      <c r="E7080" s="3" t="s">
        <v>378</v>
      </c>
      <c r="K7080" s="5"/>
    </row>
    <row r="7081">
      <c r="A7081" s="3" t="s">
        <v>369</v>
      </c>
      <c r="B7081" s="3" t="s">
        <v>340</v>
      </c>
      <c r="C7081" s="3" t="s">
        <v>7347</v>
      </c>
      <c r="D7081" s="4" t="str">
        <f>HYPERLINK("https://12go.asia/en/travel/Green-Paradise-Nong-Nok-Khiene-Border/Vientiane-Southern-Bus-Station", "12Go Link")</f>
        <v>12Go Link</v>
      </c>
      <c r="E7081" s="3" t="s">
        <v>375</v>
      </c>
      <c r="K7081" s="5"/>
    </row>
    <row r="7082">
      <c r="A7082" s="3" t="s">
        <v>376</v>
      </c>
      <c r="B7082" s="3" t="s">
        <v>7348</v>
      </c>
      <c r="C7082" s="3" t="s">
        <v>7349</v>
      </c>
      <c r="D7082" s="4" t="str">
        <f t="shared" ref="D7082:D7083" si="385">HYPERLINK("https://12go.asia/en/travel/Vang-Vieng-Transfer/Luang-Prabang-Railway-Station", "12Go Link")</f>
        <v>12Go Link</v>
      </c>
      <c r="E7082" s="3" t="s">
        <v>7350</v>
      </c>
      <c r="K7082" s="5"/>
    </row>
    <row r="7083">
      <c r="A7083" s="3" t="s">
        <v>376</v>
      </c>
      <c r="B7083" s="3" t="s">
        <v>7348</v>
      </c>
      <c r="C7083" s="3" t="s">
        <v>7349</v>
      </c>
      <c r="D7083" s="4" t="str">
        <f t="shared" si="385"/>
        <v>12Go Link</v>
      </c>
      <c r="E7083" s="3" t="s">
        <v>7351</v>
      </c>
      <c r="K7083" s="5"/>
    </row>
    <row r="7084">
      <c r="A7084" s="3" t="s">
        <v>376</v>
      </c>
      <c r="B7084" s="3" t="s">
        <v>7352</v>
      </c>
      <c r="C7084" s="3" t="s">
        <v>7353</v>
      </c>
      <c r="D7084" s="4" t="str">
        <f t="shared" ref="D7084:D7085" si="386">HYPERLINK("https://12go.asia/en/travel/Vang-Vieng-Transfer/Meuang-Xay-Railway-Station", "12Go Link")</f>
        <v>12Go Link</v>
      </c>
      <c r="E7084" s="3" t="s">
        <v>7350</v>
      </c>
      <c r="K7084" s="5"/>
    </row>
    <row r="7085">
      <c r="A7085" s="3" t="s">
        <v>376</v>
      </c>
      <c r="B7085" s="3" t="s">
        <v>7352</v>
      </c>
      <c r="C7085" s="3" t="s">
        <v>7353</v>
      </c>
      <c r="D7085" s="4" t="str">
        <f t="shared" si="386"/>
        <v>12Go Link</v>
      </c>
      <c r="E7085" s="3" t="s">
        <v>7351</v>
      </c>
      <c r="K7085" s="5"/>
    </row>
    <row r="7086">
      <c r="A7086" s="3" t="s">
        <v>376</v>
      </c>
      <c r="B7086" s="3" t="s">
        <v>340</v>
      </c>
      <c r="C7086" s="3" t="s">
        <v>7354</v>
      </c>
      <c r="D7086" s="4" t="str">
        <f t="shared" ref="D7086:D7087" si="387">HYPERLINK("https://12go.asia/en/travel/Vang-Vieng-Transfer/Vientiane-Railway-Station", "12Go Link")</f>
        <v>12Go Link</v>
      </c>
      <c r="E7086" s="3" t="s">
        <v>7350</v>
      </c>
      <c r="K7086" s="5"/>
    </row>
    <row r="7087">
      <c r="A7087" s="3" t="s">
        <v>376</v>
      </c>
      <c r="B7087" s="3" t="s">
        <v>340</v>
      </c>
      <c r="C7087" s="3" t="s">
        <v>7354</v>
      </c>
      <c r="D7087" s="4" t="str">
        <f t="shared" si="387"/>
        <v>12Go Link</v>
      </c>
      <c r="E7087" s="3" t="s">
        <v>7351</v>
      </c>
      <c r="K7087" s="5"/>
    </row>
    <row r="7088">
      <c r="A7088" s="3" t="s">
        <v>340</v>
      </c>
      <c r="B7088" s="3" t="s">
        <v>7355</v>
      </c>
      <c r="C7088" s="3" t="s">
        <v>7356</v>
      </c>
      <c r="D7088" s="4" t="str">
        <f t="shared" ref="D7088:D7089" si="388">HYPERLINK("https://12go.asia/en/travel/Vientiane-Transfer/Xishuangbanna-Railway-Station", "12Go Link")</f>
        <v>12Go Link</v>
      </c>
      <c r="E7088" s="3" t="s">
        <v>7350</v>
      </c>
      <c r="K7088" s="5"/>
    </row>
    <row r="7089">
      <c r="A7089" s="3" t="s">
        <v>340</v>
      </c>
      <c r="B7089" s="3" t="s">
        <v>7355</v>
      </c>
      <c r="C7089" s="3" t="s">
        <v>7356</v>
      </c>
      <c r="D7089" s="4" t="str">
        <f t="shared" si="388"/>
        <v>12Go Link</v>
      </c>
      <c r="E7089" s="3" t="s">
        <v>7351</v>
      </c>
      <c r="K7089" s="5"/>
    </row>
    <row r="7090">
      <c r="A7090" s="3" t="s">
        <v>340</v>
      </c>
      <c r="B7090" s="3" t="s">
        <v>1529</v>
      </c>
      <c r="C7090" s="3" t="s">
        <v>7357</v>
      </c>
      <c r="D7090" s="4" t="str">
        <f t="shared" ref="D7090:D7091" si="389">HYPERLINK("https://12go.asia/en/travel/Vientiane-Transfer/Kunming-Railway-Station", "12Go Link")</f>
        <v>12Go Link</v>
      </c>
      <c r="E7090" s="3" t="s">
        <v>7350</v>
      </c>
      <c r="K7090" s="5"/>
    </row>
    <row r="7091">
      <c r="A7091" s="3" t="s">
        <v>340</v>
      </c>
      <c r="B7091" s="3" t="s">
        <v>1529</v>
      </c>
      <c r="C7091" s="3" t="s">
        <v>7357</v>
      </c>
      <c r="D7091" s="4" t="str">
        <f t="shared" si="389"/>
        <v>12Go Link</v>
      </c>
      <c r="E7091" s="3" t="s">
        <v>7351</v>
      </c>
      <c r="K7091" s="5"/>
    </row>
    <row r="7092">
      <c r="A7092" s="3" t="s">
        <v>340</v>
      </c>
      <c r="B7092" s="3" t="s">
        <v>7358</v>
      </c>
      <c r="C7092" s="3" t="s">
        <v>7359</v>
      </c>
      <c r="D7092" s="4" t="str">
        <f t="shared" ref="D7092:D7093" si="390">HYPERLINK("https://12go.asia/en/travel/Vientiane-Transfer/Mohan-Railway-Station", "12Go Link")</f>
        <v>12Go Link</v>
      </c>
      <c r="E7092" s="3" t="s">
        <v>7350</v>
      </c>
      <c r="K7092" s="5"/>
    </row>
    <row r="7093">
      <c r="A7093" s="3" t="s">
        <v>340</v>
      </c>
      <c r="B7093" s="3" t="s">
        <v>7358</v>
      </c>
      <c r="C7093" s="3" t="s">
        <v>7359</v>
      </c>
      <c r="D7093" s="4" t="str">
        <f t="shared" si="390"/>
        <v>12Go Link</v>
      </c>
      <c r="E7093" s="3" t="s">
        <v>7351</v>
      </c>
      <c r="K7093" s="5"/>
    </row>
    <row r="7094">
      <c r="A7094" s="3" t="s">
        <v>340</v>
      </c>
      <c r="B7094" s="3" t="s">
        <v>7360</v>
      </c>
      <c r="C7094" s="3" t="s">
        <v>7361</v>
      </c>
      <c r="D7094" s="4" t="str">
        <f t="shared" ref="D7094:D7095" si="391">HYPERLINK("https://12go.asia/en/travel/Vientiane-Transfer/Boten-Railway-Station", "12Go Link")</f>
        <v>12Go Link</v>
      </c>
      <c r="E7094" s="3" t="s">
        <v>7350</v>
      </c>
      <c r="K7094" s="5"/>
    </row>
    <row r="7095">
      <c r="A7095" s="3" t="s">
        <v>340</v>
      </c>
      <c r="B7095" s="3" t="s">
        <v>7360</v>
      </c>
      <c r="C7095" s="3" t="s">
        <v>7361</v>
      </c>
      <c r="D7095" s="4" t="str">
        <f t="shared" si="391"/>
        <v>12Go Link</v>
      </c>
      <c r="E7095" s="3" t="s">
        <v>7351</v>
      </c>
      <c r="K7095" s="5"/>
    </row>
    <row r="7096">
      <c r="A7096" s="3" t="s">
        <v>340</v>
      </c>
      <c r="B7096" s="3" t="s">
        <v>7348</v>
      </c>
      <c r="C7096" s="3" t="s">
        <v>7362</v>
      </c>
      <c r="D7096" s="4" t="str">
        <f t="shared" ref="D7096:D7097" si="392">HYPERLINK("https://12go.asia/en/travel/Vientiane-Transfer/Luang-Prabang-Railway-Station", "12Go Link")</f>
        <v>12Go Link</v>
      </c>
      <c r="E7096" s="3" t="s">
        <v>7350</v>
      </c>
      <c r="K7096" s="5"/>
    </row>
    <row r="7097">
      <c r="A7097" s="3" t="s">
        <v>340</v>
      </c>
      <c r="B7097" s="3" t="s">
        <v>7348</v>
      </c>
      <c r="C7097" s="3" t="s">
        <v>7362</v>
      </c>
      <c r="D7097" s="4" t="str">
        <f t="shared" si="392"/>
        <v>12Go Link</v>
      </c>
      <c r="E7097" s="3" t="s">
        <v>7351</v>
      </c>
      <c r="K7097" s="5"/>
    </row>
    <row r="7098">
      <c r="A7098" s="3" t="s">
        <v>340</v>
      </c>
      <c r="B7098" s="3" t="s">
        <v>7363</v>
      </c>
      <c r="C7098" s="3" t="s">
        <v>7364</v>
      </c>
      <c r="D7098" s="4" t="str">
        <f t="shared" ref="D7098:D7099" si="393">HYPERLINK("https://12go.asia/en/travel/Vientiane-Transfer/Nateuy-Railway-Station", "12Go Link")</f>
        <v>12Go Link</v>
      </c>
      <c r="E7098" s="3" t="s">
        <v>7350</v>
      </c>
      <c r="K7098" s="5"/>
    </row>
    <row r="7099">
      <c r="A7099" s="3" t="s">
        <v>340</v>
      </c>
      <c r="B7099" s="3" t="s">
        <v>7363</v>
      </c>
      <c r="C7099" s="3" t="s">
        <v>7364</v>
      </c>
      <c r="D7099" s="4" t="str">
        <f t="shared" si="393"/>
        <v>12Go Link</v>
      </c>
      <c r="E7099" s="3" t="s">
        <v>7351</v>
      </c>
      <c r="K7099" s="5"/>
    </row>
    <row r="7100">
      <c r="A7100" s="3" t="s">
        <v>340</v>
      </c>
      <c r="B7100" s="3" t="s">
        <v>7352</v>
      </c>
      <c r="C7100" s="3" t="s">
        <v>7365</v>
      </c>
      <c r="D7100" s="4" t="str">
        <f t="shared" ref="D7100:D7101" si="394">HYPERLINK("https://12go.asia/en/travel/Vientiane-Transfer/Meuang-Xay-Railway-Station", "12Go Link")</f>
        <v>12Go Link</v>
      </c>
      <c r="E7100" s="3" t="s">
        <v>7350</v>
      </c>
      <c r="K7100" s="5"/>
    </row>
    <row r="7101">
      <c r="A7101" s="3" t="s">
        <v>340</v>
      </c>
      <c r="B7101" s="3" t="s">
        <v>7352</v>
      </c>
      <c r="C7101" s="3" t="s">
        <v>7365</v>
      </c>
      <c r="D7101" s="4" t="str">
        <f t="shared" si="394"/>
        <v>12Go Link</v>
      </c>
      <c r="E7101" s="3" t="s">
        <v>7351</v>
      </c>
      <c r="K7101" s="5"/>
    </row>
    <row r="7102">
      <c r="A7102" s="3" t="s">
        <v>340</v>
      </c>
      <c r="B7102" s="3" t="s">
        <v>376</v>
      </c>
      <c r="C7102" s="3" t="s">
        <v>7366</v>
      </c>
      <c r="D7102" s="4" t="str">
        <f t="shared" ref="D7102:D7103" si="395">HYPERLINK("https://12go.asia/en/travel/Vientiane-Transfer/Vang-Vieng-Railway-Station", "12Go Link")</f>
        <v>12Go Link</v>
      </c>
      <c r="E7102" s="3" t="s">
        <v>7350</v>
      </c>
      <c r="K7102" s="5"/>
    </row>
    <row r="7103">
      <c r="A7103" s="3" t="s">
        <v>340</v>
      </c>
      <c r="B7103" s="3" t="s">
        <v>376</v>
      </c>
      <c r="C7103" s="3" t="s">
        <v>7366</v>
      </c>
      <c r="D7103" s="4" t="str">
        <f t="shared" si="395"/>
        <v>12Go Link</v>
      </c>
      <c r="E7103" s="3" t="s">
        <v>7351</v>
      </c>
      <c r="K7103" s="5"/>
    </row>
    <row r="7104">
      <c r="A7104" s="3" t="s">
        <v>340</v>
      </c>
      <c r="B7104" s="3" t="s">
        <v>238</v>
      </c>
      <c r="C7104" s="3" t="s">
        <v>7367</v>
      </c>
      <c r="D7104" s="4" t="str">
        <f>HYPERLINK("https://12go.asia/en/travel/Khamsavath-Railway-station/Krung-Thep-Aphiwat-Central-Terminal-Station", "12Go Link")</f>
        <v>12Go Link</v>
      </c>
      <c r="E7104" s="3" t="s">
        <v>7368</v>
      </c>
      <c r="K7104" s="5"/>
    </row>
    <row r="7105">
      <c r="A7105" s="3" t="s">
        <v>340</v>
      </c>
      <c r="B7105" s="3" t="s">
        <v>238</v>
      </c>
      <c r="C7105" s="3" t="s">
        <v>7369</v>
      </c>
      <c r="D7105" s="4" t="str">
        <f t="shared" ref="D7105:D7107" si="396">HYPERLINK("https://12go.asia/en/travel/Vientiane-Northern-Bus-Stop/Bangkok-Train-Station", "12Go Link")</f>
        <v>12Go Link</v>
      </c>
      <c r="E7105" s="3" t="s">
        <v>7370</v>
      </c>
      <c r="K7105" s="5"/>
    </row>
    <row r="7106">
      <c r="A7106" s="3" t="s">
        <v>340</v>
      </c>
      <c r="B7106" s="3" t="s">
        <v>238</v>
      </c>
      <c r="C7106" s="3" t="s">
        <v>7369</v>
      </c>
      <c r="D7106" s="4" t="str">
        <f t="shared" si="396"/>
        <v>12Go Link</v>
      </c>
      <c r="E7106" s="3" t="s">
        <v>7371</v>
      </c>
      <c r="K7106" s="5"/>
    </row>
    <row r="7107">
      <c r="A7107" s="3" t="s">
        <v>340</v>
      </c>
      <c r="B7107" s="3" t="s">
        <v>238</v>
      </c>
      <c r="C7107" s="3" t="s">
        <v>7369</v>
      </c>
      <c r="D7107" s="4" t="str">
        <f t="shared" si="396"/>
        <v>12Go Link</v>
      </c>
      <c r="E7107" s="3" t="s">
        <v>7372</v>
      </c>
      <c r="K7107" s="5"/>
    </row>
    <row r="7108">
      <c r="A7108" s="3" t="s">
        <v>340</v>
      </c>
      <c r="B7108" s="3" t="s">
        <v>238</v>
      </c>
      <c r="C7108" s="3" t="s">
        <v>7373</v>
      </c>
      <c r="D7108" s="4" t="str">
        <f t="shared" ref="D7108:D7110" si="397">HYPERLINK("https://12go.asia/en/travel/Vientiane-Railway-Station/Bangkok-Train-Station", "12Go Link")</f>
        <v>12Go Link</v>
      </c>
      <c r="E7108" s="3" t="s">
        <v>7370</v>
      </c>
      <c r="K7108" s="5"/>
    </row>
    <row r="7109">
      <c r="A7109" s="3" t="s">
        <v>340</v>
      </c>
      <c r="B7109" s="3" t="s">
        <v>238</v>
      </c>
      <c r="C7109" s="3" t="s">
        <v>7373</v>
      </c>
      <c r="D7109" s="4" t="str">
        <f t="shared" si="397"/>
        <v>12Go Link</v>
      </c>
      <c r="E7109" s="3" t="s">
        <v>7371</v>
      </c>
      <c r="K7109" s="5"/>
    </row>
    <row r="7110">
      <c r="A7110" s="3" t="s">
        <v>340</v>
      </c>
      <c r="B7110" s="3" t="s">
        <v>238</v>
      </c>
      <c r="C7110" s="3" t="s">
        <v>7373</v>
      </c>
      <c r="D7110" s="4" t="str">
        <f t="shared" si="397"/>
        <v>12Go Link</v>
      </c>
      <c r="E7110" s="3" t="s">
        <v>7372</v>
      </c>
      <c r="K7110" s="5"/>
    </row>
    <row r="7111">
      <c r="A7111" s="3" t="s">
        <v>340</v>
      </c>
      <c r="B7111" s="3" t="s">
        <v>238</v>
      </c>
      <c r="C7111" s="3" t="s">
        <v>7374</v>
      </c>
      <c r="D7111" s="4" t="str">
        <f t="shared" ref="D7111:D7113" si="398">HYPERLINK("https://12go.asia/en/travel/Vientiane-Southern-Bus-Stop/Bangkok-Train-Station", "12Go Link")</f>
        <v>12Go Link</v>
      </c>
      <c r="E7111" s="3" t="s">
        <v>7370</v>
      </c>
      <c r="K7111" s="5"/>
    </row>
    <row r="7112">
      <c r="A7112" s="3" t="s">
        <v>340</v>
      </c>
      <c r="B7112" s="3" t="s">
        <v>238</v>
      </c>
      <c r="C7112" s="3" t="s">
        <v>7374</v>
      </c>
      <c r="D7112" s="4" t="str">
        <f t="shared" si="398"/>
        <v>12Go Link</v>
      </c>
      <c r="E7112" s="3" t="s">
        <v>7371</v>
      </c>
      <c r="K7112" s="5"/>
    </row>
    <row r="7113">
      <c r="A7113" s="3" t="s">
        <v>340</v>
      </c>
      <c r="B7113" s="3" t="s">
        <v>238</v>
      </c>
      <c r="C7113" s="3" t="s">
        <v>7374</v>
      </c>
      <c r="D7113" s="4" t="str">
        <f t="shared" si="398"/>
        <v>12Go Link</v>
      </c>
      <c r="E7113" s="3" t="s">
        <v>7372</v>
      </c>
      <c r="K7113" s="5"/>
    </row>
    <row r="7114">
      <c r="A7114" s="3" t="s">
        <v>340</v>
      </c>
      <c r="B7114" s="3" t="s">
        <v>238</v>
      </c>
      <c r="C7114" s="3" t="s">
        <v>7375</v>
      </c>
      <c r="D7114" s="4" t="str">
        <f t="shared" ref="D7114:D7116" si="399">HYPERLINK("https://12go.asia/en/travel/Vientiane-Transfer/Bangkok-Train-Station", "12Go Link")</f>
        <v>12Go Link</v>
      </c>
      <c r="E7114" s="3" t="s">
        <v>7370</v>
      </c>
      <c r="K7114" s="5"/>
    </row>
    <row r="7115">
      <c r="A7115" s="3" t="s">
        <v>340</v>
      </c>
      <c r="B7115" s="3" t="s">
        <v>238</v>
      </c>
      <c r="C7115" s="3" t="s">
        <v>7375</v>
      </c>
      <c r="D7115" s="4" t="str">
        <f t="shared" si="399"/>
        <v>12Go Link</v>
      </c>
      <c r="E7115" s="3" t="s">
        <v>7371</v>
      </c>
      <c r="K7115" s="5"/>
    </row>
    <row r="7116">
      <c r="A7116" s="3" t="s">
        <v>340</v>
      </c>
      <c r="B7116" s="3" t="s">
        <v>238</v>
      </c>
      <c r="C7116" s="3" t="s">
        <v>7375</v>
      </c>
      <c r="D7116" s="4" t="str">
        <f t="shared" si="399"/>
        <v>12Go Link</v>
      </c>
      <c r="E7116" s="3" t="s">
        <v>7372</v>
      </c>
      <c r="K7116" s="5"/>
    </row>
    <row r="7117">
      <c r="A7117" s="3" t="s">
        <v>340</v>
      </c>
      <c r="B7117" s="3" t="s">
        <v>238</v>
      </c>
      <c r="C7117" s="3" t="s">
        <v>7376</v>
      </c>
      <c r="D7117" s="4" t="str">
        <f t="shared" ref="D7117:D7123" si="400">HYPERLINK("https://12go.asia/en/travel/Vientiane-Transfer/Krung-Thep-Aphiwat-Central-Terminal-Station", "12Go Link")</f>
        <v>12Go Link</v>
      </c>
      <c r="E7117" s="3" t="s">
        <v>7377</v>
      </c>
      <c r="K7117" s="5"/>
    </row>
    <row r="7118">
      <c r="A7118" s="3" t="s">
        <v>340</v>
      </c>
      <c r="B7118" s="3" t="s">
        <v>238</v>
      </c>
      <c r="C7118" s="3" t="s">
        <v>7376</v>
      </c>
      <c r="D7118" s="4" t="str">
        <f t="shared" si="400"/>
        <v>12Go Link</v>
      </c>
      <c r="E7118" s="3" t="s">
        <v>7378</v>
      </c>
      <c r="K7118" s="5"/>
    </row>
    <row r="7119">
      <c r="A7119" s="3" t="s">
        <v>340</v>
      </c>
      <c r="B7119" s="3" t="s">
        <v>238</v>
      </c>
      <c r="C7119" s="3" t="s">
        <v>7376</v>
      </c>
      <c r="D7119" s="4" t="str">
        <f t="shared" si="400"/>
        <v>12Go Link</v>
      </c>
      <c r="E7119" s="3" t="s">
        <v>7379</v>
      </c>
      <c r="K7119" s="5"/>
    </row>
    <row r="7120">
      <c r="A7120" s="3" t="s">
        <v>340</v>
      </c>
      <c r="B7120" s="3" t="s">
        <v>238</v>
      </c>
      <c r="C7120" s="3" t="s">
        <v>7376</v>
      </c>
      <c r="D7120" s="4" t="str">
        <f t="shared" si="400"/>
        <v>12Go Link</v>
      </c>
      <c r="E7120" s="3" t="s">
        <v>7380</v>
      </c>
      <c r="K7120" s="5"/>
    </row>
    <row r="7121">
      <c r="A7121" s="3" t="s">
        <v>340</v>
      </c>
      <c r="B7121" s="3" t="s">
        <v>238</v>
      </c>
      <c r="C7121" s="3" t="s">
        <v>7376</v>
      </c>
      <c r="D7121" s="4" t="str">
        <f t="shared" si="400"/>
        <v>12Go Link</v>
      </c>
      <c r="E7121" s="3" t="s">
        <v>7368</v>
      </c>
      <c r="K7121" s="5"/>
    </row>
    <row r="7122">
      <c r="A7122" s="3" t="s">
        <v>340</v>
      </c>
      <c r="B7122" s="3" t="s">
        <v>238</v>
      </c>
      <c r="C7122" s="3" t="s">
        <v>7376</v>
      </c>
      <c r="D7122" s="4" t="str">
        <f t="shared" si="400"/>
        <v>12Go Link</v>
      </c>
      <c r="E7122" s="3" t="s">
        <v>7381</v>
      </c>
      <c r="K7122" s="5"/>
    </row>
    <row r="7123">
      <c r="A7123" s="3" t="s">
        <v>340</v>
      </c>
      <c r="B7123" s="3" t="s">
        <v>238</v>
      </c>
      <c r="C7123" s="3" t="s">
        <v>7376</v>
      </c>
      <c r="D7123" s="4" t="str">
        <f t="shared" si="400"/>
        <v>12Go Link</v>
      </c>
      <c r="E7123" s="3" t="s">
        <v>7382</v>
      </c>
      <c r="K7123" s="5"/>
    </row>
    <row r="7124">
      <c r="A7124" s="3" t="s">
        <v>340</v>
      </c>
      <c r="B7124" s="3" t="s">
        <v>7383</v>
      </c>
      <c r="C7124" s="3" t="s">
        <v>7384</v>
      </c>
      <c r="D7124" s="4" t="str">
        <f t="shared" ref="D7124:D7126" si="401">HYPERLINK("https://12go.asia/en/travel/Vientiane-Northern-Bus-Stop/Khon-Kaen", "12Go Link")</f>
        <v>12Go Link</v>
      </c>
      <c r="E7124" s="3" t="s">
        <v>7370</v>
      </c>
      <c r="K7124" s="5"/>
    </row>
    <row r="7125">
      <c r="A7125" s="3" t="s">
        <v>340</v>
      </c>
      <c r="B7125" s="3" t="s">
        <v>7383</v>
      </c>
      <c r="C7125" s="3" t="s">
        <v>7384</v>
      </c>
      <c r="D7125" s="4" t="str">
        <f t="shared" si="401"/>
        <v>12Go Link</v>
      </c>
      <c r="E7125" s="3" t="s">
        <v>7371</v>
      </c>
      <c r="K7125" s="5"/>
    </row>
    <row r="7126">
      <c r="A7126" s="3" t="s">
        <v>340</v>
      </c>
      <c r="B7126" s="3" t="s">
        <v>7383</v>
      </c>
      <c r="C7126" s="3" t="s">
        <v>7384</v>
      </c>
      <c r="D7126" s="4" t="str">
        <f t="shared" si="401"/>
        <v>12Go Link</v>
      </c>
      <c r="E7126" s="3" t="s">
        <v>7372</v>
      </c>
      <c r="K7126" s="5"/>
    </row>
    <row r="7127">
      <c r="A7127" s="3" t="s">
        <v>340</v>
      </c>
      <c r="B7127" s="3" t="s">
        <v>7383</v>
      </c>
      <c r="C7127" s="3" t="s">
        <v>7385</v>
      </c>
      <c r="D7127" s="4" t="str">
        <f t="shared" ref="D7127:D7129" si="402">HYPERLINK("https://12go.asia/en/travel/Vientiane-Railway-Station/Khon-Kaen", "12Go Link")</f>
        <v>12Go Link</v>
      </c>
      <c r="E7127" s="3" t="s">
        <v>7370</v>
      </c>
      <c r="K7127" s="5"/>
    </row>
    <row r="7128">
      <c r="A7128" s="3" t="s">
        <v>340</v>
      </c>
      <c r="B7128" s="3" t="s">
        <v>7383</v>
      </c>
      <c r="C7128" s="3" t="s">
        <v>7385</v>
      </c>
      <c r="D7128" s="4" t="str">
        <f t="shared" si="402"/>
        <v>12Go Link</v>
      </c>
      <c r="E7128" s="3" t="s">
        <v>7371</v>
      </c>
      <c r="K7128" s="5"/>
    </row>
    <row r="7129">
      <c r="A7129" s="3" t="s">
        <v>340</v>
      </c>
      <c r="B7129" s="3" t="s">
        <v>7383</v>
      </c>
      <c r="C7129" s="3" t="s">
        <v>7385</v>
      </c>
      <c r="D7129" s="4" t="str">
        <f t="shared" si="402"/>
        <v>12Go Link</v>
      </c>
      <c r="E7129" s="3" t="s">
        <v>7372</v>
      </c>
      <c r="K7129" s="5"/>
    </row>
    <row r="7130">
      <c r="A7130" s="3" t="s">
        <v>340</v>
      </c>
      <c r="B7130" s="3" t="s">
        <v>7383</v>
      </c>
      <c r="C7130" s="3" t="s">
        <v>7386</v>
      </c>
      <c r="D7130" s="4" t="str">
        <f t="shared" ref="D7130:D7132" si="403">HYPERLINK("https://12go.asia/en/travel/Vientiane-Southern-Bus-Stop/Khon-Kaen", "12Go Link")</f>
        <v>12Go Link</v>
      </c>
      <c r="E7130" s="3" t="s">
        <v>7370</v>
      </c>
      <c r="K7130" s="5"/>
    </row>
    <row r="7131">
      <c r="A7131" s="3" t="s">
        <v>340</v>
      </c>
      <c r="B7131" s="3" t="s">
        <v>7383</v>
      </c>
      <c r="C7131" s="3" t="s">
        <v>7386</v>
      </c>
      <c r="D7131" s="4" t="str">
        <f t="shared" si="403"/>
        <v>12Go Link</v>
      </c>
      <c r="E7131" s="3" t="s">
        <v>7371</v>
      </c>
      <c r="K7131" s="5"/>
    </row>
    <row r="7132">
      <c r="A7132" s="3" t="s">
        <v>340</v>
      </c>
      <c r="B7132" s="3" t="s">
        <v>7383</v>
      </c>
      <c r="C7132" s="3" t="s">
        <v>7386</v>
      </c>
      <c r="D7132" s="4" t="str">
        <f t="shared" si="403"/>
        <v>12Go Link</v>
      </c>
      <c r="E7132" s="3" t="s">
        <v>7372</v>
      </c>
      <c r="K7132" s="5"/>
    </row>
    <row r="7133">
      <c r="A7133" s="3" t="s">
        <v>340</v>
      </c>
      <c r="B7133" s="3" t="s">
        <v>7383</v>
      </c>
      <c r="C7133" s="3" t="s">
        <v>7387</v>
      </c>
      <c r="D7133" s="4" t="str">
        <f t="shared" ref="D7133:D7135" si="404">HYPERLINK("https://12go.asia/en/travel/Vientiane-Transfer/Khon-Kaen", "12Go Link")</f>
        <v>12Go Link</v>
      </c>
      <c r="E7133" s="3" t="s">
        <v>7370</v>
      </c>
      <c r="K7133" s="5"/>
    </row>
    <row r="7134">
      <c r="A7134" s="3" t="s">
        <v>340</v>
      </c>
      <c r="B7134" s="3" t="s">
        <v>7383</v>
      </c>
      <c r="C7134" s="3" t="s">
        <v>7387</v>
      </c>
      <c r="D7134" s="4" t="str">
        <f t="shared" si="404"/>
        <v>12Go Link</v>
      </c>
      <c r="E7134" s="3" t="s">
        <v>7371</v>
      </c>
      <c r="K7134" s="5"/>
    </row>
    <row r="7135">
      <c r="A7135" s="3" t="s">
        <v>340</v>
      </c>
      <c r="B7135" s="3" t="s">
        <v>7383</v>
      </c>
      <c r="C7135" s="3" t="s">
        <v>7387</v>
      </c>
      <c r="D7135" s="4" t="str">
        <f t="shared" si="404"/>
        <v>12Go Link</v>
      </c>
      <c r="E7135" s="3" t="s">
        <v>7372</v>
      </c>
      <c r="K7135" s="5"/>
    </row>
    <row r="7136">
      <c r="A7136" s="3" t="s">
        <v>340</v>
      </c>
      <c r="B7136" s="3" t="s">
        <v>7388</v>
      </c>
      <c r="C7136" s="3" t="s">
        <v>7389</v>
      </c>
      <c r="D7136" s="4" t="str">
        <f t="shared" ref="D7136:D7138" si="405">HYPERLINK("https://12go.asia/en/travel/Vientiane-Northern-Bus-Stop/Nong-Khai", "12Go Link")</f>
        <v>12Go Link</v>
      </c>
      <c r="E7136" s="3" t="s">
        <v>7370</v>
      </c>
      <c r="K7136" s="5"/>
    </row>
    <row r="7137">
      <c r="A7137" s="3" t="s">
        <v>340</v>
      </c>
      <c r="B7137" s="3" t="s">
        <v>7388</v>
      </c>
      <c r="C7137" s="3" t="s">
        <v>7389</v>
      </c>
      <c r="D7137" s="4" t="str">
        <f t="shared" si="405"/>
        <v>12Go Link</v>
      </c>
      <c r="E7137" s="3" t="s">
        <v>7371</v>
      </c>
      <c r="K7137" s="5"/>
    </row>
    <row r="7138">
      <c r="A7138" s="3" t="s">
        <v>340</v>
      </c>
      <c r="B7138" s="3" t="s">
        <v>7388</v>
      </c>
      <c r="C7138" s="3" t="s">
        <v>7389</v>
      </c>
      <c r="D7138" s="4" t="str">
        <f t="shared" si="405"/>
        <v>12Go Link</v>
      </c>
      <c r="E7138" s="3" t="s">
        <v>7372</v>
      </c>
      <c r="K7138" s="5"/>
    </row>
    <row r="7139">
      <c r="A7139" s="3" t="s">
        <v>340</v>
      </c>
      <c r="B7139" s="3" t="s">
        <v>7388</v>
      </c>
      <c r="C7139" s="3" t="s">
        <v>7390</v>
      </c>
      <c r="D7139" s="4" t="str">
        <f t="shared" ref="D7139:D7141" si="406">HYPERLINK("https://12go.asia/en/travel/Vientiane-Railway-Station/Nong-Khai", "12Go Link")</f>
        <v>12Go Link</v>
      </c>
      <c r="E7139" s="3" t="s">
        <v>7370</v>
      </c>
      <c r="K7139" s="5"/>
    </row>
    <row r="7140">
      <c r="A7140" s="3" t="s">
        <v>340</v>
      </c>
      <c r="B7140" s="3" t="s">
        <v>7388</v>
      </c>
      <c r="C7140" s="3" t="s">
        <v>7390</v>
      </c>
      <c r="D7140" s="4" t="str">
        <f t="shared" si="406"/>
        <v>12Go Link</v>
      </c>
      <c r="E7140" s="3" t="s">
        <v>7371</v>
      </c>
      <c r="K7140" s="5"/>
    </row>
    <row r="7141">
      <c r="A7141" s="3" t="s">
        <v>340</v>
      </c>
      <c r="B7141" s="3" t="s">
        <v>7388</v>
      </c>
      <c r="C7141" s="3" t="s">
        <v>7390</v>
      </c>
      <c r="D7141" s="4" t="str">
        <f t="shared" si="406"/>
        <v>12Go Link</v>
      </c>
      <c r="E7141" s="3" t="s">
        <v>7372</v>
      </c>
      <c r="K7141" s="5"/>
    </row>
    <row r="7142">
      <c r="A7142" s="3" t="s">
        <v>340</v>
      </c>
      <c r="B7142" s="3" t="s">
        <v>7388</v>
      </c>
      <c r="C7142" s="3" t="s">
        <v>7391</v>
      </c>
      <c r="D7142" s="4" t="str">
        <f t="shared" ref="D7142:D7144" si="407">HYPERLINK("https://12go.asia/en/travel/Vientiane-Southern-Bus-Stop/Nong-Khai", "12Go Link")</f>
        <v>12Go Link</v>
      </c>
      <c r="E7142" s="3" t="s">
        <v>7370</v>
      </c>
      <c r="K7142" s="5"/>
    </row>
    <row r="7143">
      <c r="A7143" s="3" t="s">
        <v>340</v>
      </c>
      <c r="B7143" s="3" t="s">
        <v>7388</v>
      </c>
      <c r="C7143" s="3" t="s">
        <v>7391</v>
      </c>
      <c r="D7143" s="4" t="str">
        <f t="shared" si="407"/>
        <v>12Go Link</v>
      </c>
      <c r="E7143" s="3" t="s">
        <v>7371</v>
      </c>
      <c r="K7143" s="5"/>
    </row>
    <row r="7144">
      <c r="A7144" s="3" t="s">
        <v>340</v>
      </c>
      <c r="B7144" s="3" t="s">
        <v>7388</v>
      </c>
      <c r="C7144" s="3" t="s">
        <v>7391</v>
      </c>
      <c r="D7144" s="4" t="str">
        <f t="shared" si="407"/>
        <v>12Go Link</v>
      </c>
      <c r="E7144" s="3" t="s">
        <v>7372</v>
      </c>
      <c r="K7144" s="5"/>
    </row>
    <row r="7145">
      <c r="A7145" s="3" t="s">
        <v>340</v>
      </c>
      <c r="B7145" s="3" t="s">
        <v>7388</v>
      </c>
      <c r="C7145" s="3" t="s">
        <v>7392</v>
      </c>
      <c r="D7145" s="4" t="str">
        <f t="shared" ref="D7145:D7147" si="408">HYPERLINK("https://12go.asia/en/travel/Vientiane-Transfer/Nong-Khai", "12Go Link")</f>
        <v>12Go Link</v>
      </c>
      <c r="E7145" s="3" t="s">
        <v>7370</v>
      </c>
      <c r="K7145" s="5"/>
    </row>
    <row r="7146">
      <c r="A7146" s="3" t="s">
        <v>340</v>
      </c>
      <c r="B7146" s="3" t="s">
        <v>7388</v>
      </c>
      <c r="C7146" s="3" t="s">
        <v>7392</v>
      </c>
      <c r="D7146" s="4" t="str">
        <f t="shared" si="408"/>
        <v>12Go Link</v>
      </c>
      <c r="E7146" s="3" t="s">
        <v>7371</v>
      </c>
      <c r="K7146" s="5"/>
    </row>
    <row r="7147">
      <c r="A7147" s="3" t="s">
        <v>340</v>
      </c>
      <c r="B7147" s="3" t="s">
        <v>7388</v>
      </c>
      <c r="C7147" s="3" t="s">
        <v>7392</v>
      </c>
      <c r="D7147" s="4" t="str">
        <f t="shared" si="408"/>
        <v>12Go Link</v>
      </c>
      <c r="E7147" s="3" t="s">
        <v>7372</v>
      </c>
      <c r="K7147" s="5"/>
    </row>
    <row r="7148">
      <c r="A7148" s="3" t="s">
        <v>340</v>
      </c>
      <c r="B7148" s="3" t="s">
        <v>7393</v>
      </c>
      <c r="C7148" s="3" t="s">
        <v>7394</v>
      </c>
      <c r="D7148" s="4" t="str">
        <f t="shared" ref="D7148:D7150" si="409">HYPERLINK("https://12go.asia/en/travel/Vientiane-Northern-Bus-Stop/Udon-Thani", "12Go Link")</f>
        <v>12Go Link</v>
      </c>
      <c r="E7148" s="3" t="s">
        <v>7370</v>
      </c>
      <c r="K7148" s="5"/>
    </row>
    <row r="7149">
      <c r="A7149" s="3" t="s">
        <v>340</v>
      </c>
      <c r="B7149" s="3" t="s">
        <v>7393</v>
      </c>
      <c r="C7149" s="3" t="s">
        <v>7394</v>
      </c>
      <c r="D7149" s="4" t="str">
        <f t="shared" si="409"/>
        <v>12Go Link</v>
      </c>
      <c r="E7149" s="3" t="s">
        <v>7371</v>
      </c>
      <c r="K7149" s="5"/>
    </row>
    <row r="7150">
      <c r="A7150" s="3" t="s">
        <v>340</v>
      </c>
      <c r="B7150" s="3" t="s">
        <v>7393</v>
      </c>
      <c r="C7150" s="3" t="s">
        <v>7394</v>
      </c>
      <c r="D7150" s="4" t="str">
        <f t="shared" si="409"/>
        <v>12Go Link</v>
      </c>
      <c r="E7150" s="3" t="s">
        <v>7372</v>
      </c>
      <c r="K7150" s="5"/>
    </row>
    <row r="7151">
      <c r="A7151" s="3" t="s">
        <v>340</v>
      </c>
      <c r="B7151" s="3" t="s">
        <v>7393</v>
      </c>
      <c r="C7151" s="3" t="s">
        <v>7395</v>
      </c>
      <c r="D7151" s="4" t="str">
        <f t="shared" ref="D7151:D7153" si="410">HYPERLINK("https://12go.asia/en/travel/Vientiane-Railway-Station/Udon-Thani", "12Go Link")</f>
        <v>12Go Link</v>
      </c>
      <c r="E7151" s="3" t="s">
        <v>7370</v>
      </c>
      <c r="K7151" s="5"/>
    </row>
    <row r="7152">
      <c r="A7152" s="3" t="s">
        <v>340</v>
      </c>
      <c r="B7152" s="3" t="s">
        <v>7393</v>
      </c>
      <c r="C7152" s="3" t="s">
        <v>7395</v>
      </c>
      <c r="D7152" s="4" t="str">
        <f t="shared" si="410"/>
        <v>12Go Link</v>
      </c>
      <c r="E7152" s="3" t="s">
        <v>7371</v>
      </c>
      <c r="K7152" s="5"/>
    </row>
    <row r="7153">
      <c r="A7153" s="3" t="s">
        <v>340</v>
      </c>
      <c r="B7153" s="3" t="s">
        <v>7393</v>
      </c>
      <c r="C7153" s="3" t="s">
        <v>7395</v>
      </c>
      <c r="D7153" s="4" t="str">
        <f t="shared" si="410"/>
        <v>12Go Link</v>
      </c>
      <c r="E7153" s="3" t="s">
        <v>7372</v>
      </c>
      <c r="K7153" s="5"/>
    </row>
    <row r="7154">
      <c r="A7154" s="3" t="s">
        <v>340</v>
      </c>
      <c r="B7154" s="3" t="s">
        <v>7393</v>
      </c>
      <c r="C7154" s="3" t="s">
        <v>7396</v>
      </c>
      <c r="D7154" s="4" t="str">
        <f t="shared" ref="D7154:D7156" si="411">HYPERLINK("https://12go.asia/en/travel/Vientiane-Southern-Bus-Stop/Udon-Thani", "12Go Link")</f>
        <v>12Go Link</v>
      </c>
      <c r="E7154" s="3" t="s">
        <v>7370</v>
      </c>
      <c r="K7154" s="5"/>
    </row>
    <row r="7155">
      <c r="A7155" s="3" t="s">
        <v>340</v>
      </c>
      <c r="B7155" s="3" t="s">
        <v>7393</v>
      </c>
      <c r="C7155" s="3" t="s">
        <v>7396</v>
      </c>
      <c r="D7155" s="4" t="str">
        <f t="shared" si="411"/>
        <v>12Go Link</v>
      </c>
      <c r="E7155" s="3" t="s">
        <v>7371</v>
      </c>
      <c r="K7155" s="5"/>
    </row>
    <row r="7156">
      <c r="A7156" s="3" t="s">
        <v>340</v>
      </c>
      <c r="B7156" s="3" t="s">
        <v>7393</v>
      </c>
      <c r="C7156" s="3" t="s">
        <v>7396</v>
      </c>
      <c r="D7156" s="4" t="str">
        <f t="shared" si="411"/>
        <v>12Go Link</v>
      </c>
      <c r="E7156" s="3" t="s">
        <v>7372</v>
      </c>
      <c r="K7156" s="5"/>
    </row>
    <row r="7157">
      <c r="A7157" s="3" t="s">
        <v>340</v>
      </c>
      <c r="B7157" s="3" t="s">
        <v>7393</v>
      </c>
      <c r="C7157" s="3" t="s">
        <v>7397</v>
      </c>
      <c r="D7157" s="4" t="str">
        <f t="shared" ref="D7157:D7159" si="412">HYPERLINK("https://12go.asia/en/travel/Vientiane-Transfer/Udon-Thani", "12Go Link")</f>
        <v>12Go Link</v>
      </c>
      <c r="E7157" s="3" t="s">
        <v>7370</v>
      </c>
      <c r="K7157" s="5"/>
    </row>
    <row r="7158">
      <c r="A7158" s="3" t="s">
        <v>340</v>
      </c>
      <c r="B7158" s="3" t="s">
        <v>7393</v>
      </c>
      <c r="C7158" s="3" t="s">
        <v>7397</v>
      </c>
      <c r="D7158" s="4" t="str">
        <f t="shared" si="412"/>
        <v>12Go Link</v>
      </c>
      <c r="E7158" s="3" t="s">
        <v>7371</v>
      </c>
      <c r="K7158" s="5"/>
    </row>
    <row r="7159">
      <c r="A7159" s="3" t="s">
        <v>340</v>
      </c>
      <c r="B7159" s="3" t="s">
        <v>7393</v>
      </c>
      <c r="C7159" s="3" t="s">
        <v>7397</v>
      </c>
      <c r="D7159" s="4" t="str">
        <f t="shared" si="412"/>
        <v>12Go Link</v>
      </c>
      <c r="E7159" s="3" t="s">
        <v>7372</v>
      </c>
      <c r="K7159" s="5"/>
    </row>
    <row r="7160">
      <c r="A7160" s="3" t="s">
        <v>7398</v>
      </c>
      <c r="B7160" s="3" t="s">
        <v>7399</v>
      </c>
      <c r="C7160" s="3" t="s">
        <v>7400</v>
      </c>
      <c r="D7160" s="4" t="str">
        <f>HYPERLINK("https://12go.asia/en/travel/Kota-Bharu-Airport/Merang-Jetty", "12Go Link")</f>
        <v>12Go Link</v>
      </c>
      <c r="E7160" s="3" t="s">
        <v>3482</v>
      </c>
      <c r="K7160" s="5"/>
    </row>
    <row r="7161">
      <c r="A7161" s="3" t="s">
        <v>7401</v>
      </c>
      <c r="B7161" s="3" t="s">
        <v>6975</v>
      </c>
      <c r="C7161" s="3" t="s">
        <v>7402</v>
      </c>
      <c r="D7161" s="4" t="str">
        <f>HYPERLINK("https://12go.asia/en/travel/klang-valley/klia", "12Go Link")</f>
        <v>12Go Link</v>
      </c>
      <c r="E7161" s="3" t="s">
        <v>94</v>
      </c>
      <c r="K7161" s="5"/>
    </row>
    <row r="7162">
      <c r="A7162" s="3" t="s">
        <v>7401</v>
      </c>
      <c r="B7162" s="3" t="s">
        <v>6870</v>
      </c>
      <c r="C7162" s="3" t="s">
        <v>7403</v>
      </c>
      <c r="D7162" s="4" t="str">
        <f>HYPERLINK("https://12go.asia/en/travel/klang-valley/klia-ii", "12Go Link")</f>
        <v>12Go Link</v>
      </c>
      <c r="E7162" s="3" t="s">
        <v>94</v>
      </c>
      <c r="K7162" s="5"/>
    </row>
    <row r="7163">
      <c r="A7163" s="3" t="s">
        <v>7401</v>
      </c>
      <c r="B7163" s="3" t="s">
        <v>6978</v>
      </c>
      <c r="C7163" s="3" t="s">
        <v>7404</v>
      </c>
      <c r="D7163" s="4" t="str">
        <f>HYPERLINK("https://12go.asia/en/travel/klang-valley/kuala-lumpur-airport", "12Go Link")</f>
        <v>12Go Link</v>
      </c>
      <c r="E7163" s="3" t="s">
        <v>94</v>
      </c>
      <c r="K7163" s="5"/>
    </row>
    <row r="7164">
      <c r="A7164" s="3" t="s">
        <v>6975</v>
      </c>
      <c r="B7164" s="3" t="s">
        <v>7401</v>
      </c>
      <c r="C7164" s="3" t="s">
        <v>7405</v>
      </c>
      <c r="D7164" s="4" t="str">
        <f>HYPERLINK("https://12go.asia/en/travel/klia/klang-valley", "12Go Link")</f>
        <v>12Go Link</v>
      </c>
      <c r="E7164" s="3" t="s">
        <v>94</v>
      </c>
      <c r="K7164" s="5"/>
    </row>
    <row r="7165">
      <c r="A7165" s="3" t="s">
        <v>6870</v>
      </c>
      <c r="B7165" s="3" t="s">
        <v>7401</v>
      </c>
      <c r="C7165" s="3" t="s">
        <v>7406</v>
      </c>
      <c r="D7165" s="4" t="str">
        <f>HYPERLINK("https://12go.asia/en/travel/klia-ii/klang-valley", "12Go Link")</f>
        <v>12Go Link</v>
      </c>
      <c r="E7165" s="3" t="s">
        <v>94</v>
      </c>
      <c r="K7165" s="5"/>
    </row>
    <row r="7166">
      <c r="A7166" s="3" t="s">
        <v>7219</v>
      </c>
      <c r="B7166" s="3" t="s">
        <v>7407</v>
      </c>
      <c r="C7166" s="3" t="s">
        <v>7408</v>
      </c>
      <c r="D7166" s="4" t="str">
        <f t="shared" ref="D7166:D7168" si="413">HYPERLINK("https://12go.asia/en/travel/Kuala-Lumpur-Airport/Batu-Caves", "12Go Link")</f>
        <v>12Go Link</v>
      </c>
      <c r="E7166" s="3" t="s">
        <v>3196</v>
      </c>
      <c r="K7166" s="5"/>
    </row>
    <row r="7167">
      <c r="A7167" s="3" t="s">
        <v>7219</v>
      </c>
      <c r="B7167" s="3" t="s">
        <v>7407</v>
      </c>
      <c r="C7167" s="3" t="s">
        <v>7408</v>
      </c>
      <c r="D7167" s="4" t="str">
        <f t="shared" si="413"/>
        <v>12Go Link</v>
      </c>
      <c r="E7167" s="3" t="s">
        <v>7409</v>
      </c>
      <c r="K7167" s="5"/>
    </row>
    <row r="7168">
      <c r="A7168" s="3" t="s">
        <v>7219</v>
      </c>
      <c r="B7168" s="3" t="s">
        <v>7407</v>
      </c>
      <c r="C7168" s="3" t="s">
        <v>7408</v>
      </c>
      <c r="D7168" s="4" t="str">
        <f t="shared" si="413"/>
        <v>12Go Link</v>
      </c>
      <c r="E7168" s="3" t="s">
        <v>228</v>
      </c>
      <c r="K7168" s="5"/>
    </row>
    <row r="7169">
      <c r="A7169" s="3" t="s">
        <v>7219</v>
      </c>
      <c r="B7169" s="3" t="s">
        <v>7219</v>
      </c>
      <c r="C7169" s="3" t="s">
        <v>7410</v>
      </c>
      <c r="D7169" s="4" t="str">
        <f t="shared" ref="D7169:D7171" si="414">HYPERLINK("https://12go.asia/en/travel/Kuala-Lumpur-Airport/Ampang-Transfer", "12Go Link")</f>
        <v>12Go Link</v>
      </c>
      <c r="E7169" s="3" t="s">
        <v>3196</v>
      </c>
      <c r="K7169" s="5"/>
    </row>
    <row r="7170">
      <c r="A7170" s="3" t="s">
        <v>7219</v>
      </c>
      <c r="B7170" s="3" t="s">
        <v>7219</v>
      </c>
      <c r="C7170" s="3" t="s">
        <v>7410</v>
      </c>
      <c r="D7170" s="4" t="str">
        <f t="shared" si="414"/>
        <v>12Go Link</v>
      </c>
      <c r="E7170" s="3" t="s">
        <v>7409</v>
      </c>
      <c r="K7170" s="5"/>
    </row>
    <row r="7171">
      <c r="A7171" s="3" t="s">
        <v>7219</v>
      </c>
      <c r="B7171" s="3" t="s">
        <v>7219</v>
      </c>
      <c r="C7171" s="3" t="s">
        <v>7410</v>
      </c>
      <c r="D7171" s="4" t="str">
        <f t="shared" si="414"/>
        <v>12Go Link</v>
      </c>
      <c r="E7171" s="3" t="s">
        <v>228</v>
      </c>
      <c r="K7171" s="5"/>
    </row>
    <row r="7172">
      <c r="A7172" s="3" t="s">
        <v>7219</v>
      </c>
      <c r="B7172" s="3" t="s">
        <v>7219</v>
      </c>
      <c r="C7172" s="3" t="s">
        <v>7411</v>
      </c>
      <c r="D7172" s="4" t="str">
        <f t="shared" ref="D7172:D7174" si="415">HYPERLINK("https://12go.asia/en/travel/Kuala-Lumpur-Airport/Bandar-Sri-Damansara-Transfer", "12Go Link")</f>
        <v>12Go Link</v>
      </c>
      <c r="E7172" s="3" t="s">
        <v>3196</v>
      </c>
      <c r="K7172" s="5"/>
    </row>
    <row r="7173">
      <c r="A7173" s="3" t="s">
        <v>7219</v>
      </c>
      <c r="B7173" s="3" t="s">
        <v>7219</v>
      </c>
      <c r="C7173" s="3" t="s">
        <v>7411</v>
      </c>
      <c r="D7173" s="4" t="str">
        <f t="shared" si="415"/>
        <v>12Go Link</v>
      </c>
      <c r="E7173" s="3" t="s">
        <v>7409</v>
      </c>
      <c r="K7173" s="5"/>
    </row>
    <row r="7174">
      <c r="A7174" s="3" t="s">
        <v>7219</v>
      </c>
      <c r="B7174" s="3" t="s">
        <v>7219</v>
      </c>
      <c r="C7174" s="3" t="s">
        <v>7411</v>
      </c>
      <c r="D7174" s="4" t="str">
        <f t="shared" si="415"/>
        <v>12Go Link</v>
      </c>
      <c r="E7174" s="3" t="s">
        <v>228</v>
      </c>
      <c r="K7174" s="5"/>
    </row>
    <row r="7175">
      <c r="A7175" s="3" t="s">
        <v>7219</v>
      </c>
      <c r="B7175" s="3" t="s">
        <v>7219</v>
      </c>
      <c r="C7175" s="3" t="s">
        <v>7412</v>
      </c>
      <c r="D7175" s="4" t="str">
        <f t="shared" ref="D7175:D7177" si="416">HYPERLINK("https://12go.asia/en/travel/Kuala-Lumpur-Airport/Bangsar-Transfer", "12Go Link")</f>
        <v>12Go Link</v>
      </c>
      <c r="E7175" s="3" t="s">
        <v>3196</v>
      </c>
      <c r="K7175" s="5"/>
    </row>
    <row r="7176">
      <c r="A7176" s="3" t="s">
        <v>7219</v>
      </c>
      <c r="B7176" s="3" t="s">
        <v>7219</v>
      </c>
      <c r="C7176" s="3" t="s">
        <v>7412</v>
      </c>
      <c r="D7176" s="4" t="str">
        <f t="shared" si="416"/>
        <v>12Go Link</v>
      </c>
      <c r="E7176" s="3" t="s">
        <v>7409</v>
      </c>
      <c r="K7176" s="5"/>
    </row>
    <row r="7177">
      <c r="A7177" s="3" t="s">
        <v>7219</v>
      </c>
      <c r="B7177" s="3" t="s">
        <v>7219</v>
      </c>
      <c r="C7177" s="3" t="s">
        <v>7412</v>
      </c>
      <c r="D7177" s="4" t="str">
        <f t="shared" si="416"/>
        <v>12Go Link</v>
      </c>
      <c r="E7177" s="3" t="s">
        <v>228</v>
      </c>
      <c r="K7177" s="5"/>
    </row>
    <row r="7178">
      <c r="A7178" s="3" t="s">
        <v>7219</v>
      </c>
      <c r="B7178" s="3" t="s">
        <v>7219</v>
      </c>
      <c r="C7178" s="3" t="s">
        <v>7413</v>
      </c>
      <c r="D7178" s="4" t="str">
        <f t="shared" ref="D7178:D7180" si="417">HYPERLINK("https://12go.asia/en/travel/Kuala-Lumpur-Airport/Bukit-Jalil-Transfer", "12Go Link")</f>
        <v>12Go Link</v>
      </c>
      <c r="E7178" s="3" t="s">
        <v>3196</v>
      </c>
      <c r="K7178" s="5"/>
    </row>
    <row r="7179">
      <c r="A7179" s="3" t="s">
        <v>7219</v>
      </c>
      <c r="B7179" s="3" t="s">
        <v>7219</v>
      </c>
      <c r="C7179" s="3" t="s">
        <v>7413</v>
      </c>
      <c r="D7179" s="4" t="str">
        <f t="shared" si="417"/>
        <v>12Go Link</v>
      </c>
      <c r="E7179" s="3" t="s">
        <v>7409</v>
      </c>
      <c r="K7179" s="5"/>
    </row>
    <row r="7180">
      <c r="A7180" s="3" t="s">
        <v>7219</v>
      </c>
      <c r="B7180" s="3" t="s">
        <v>7219</v>
      </c>
      <c r="C7180" s="3" t="s">
        <v>7413</v>
      </c>
      <c r="D7180" s="4" t="str">
        <f t="shared" si="417"/>
        <v>12Go Link</v>
      </c>
      <c r="E7180" s="3" t="s">
        <v>228</v>
      </c>
      <c r="K7180" s="5"/>
    </row>
    <row r="7181">
      <c r="A7181" s="3" t="s">
        <v>7219</v>
      </c>
      <c r="B7181" s="3" t="s">
        <v>7219</v>
      </c>
      <c r="C7181" s="3" t="s">
        <v>7414</v>
      </c>
      <c r="D7181" s="4" t="str">
        <f t="shared" ref="D7181:D7183" si="418">HYPERLINK("https://12go.asia/en/travel/Kuala-Lumpur-Airport/Cheras-Transfer", "12Go Link")</f>
        <v>12Go Link</v>
      </c>
      <c r="E7181" s="3" t="s">
        <v>3196</v>
      </c>
      <c r="K7181" s="5"/>
    </row>
    <row r="7182">
      <c r="A7182" s="3" t="s">
        <v>7219</v>
      </c>
      <c r="B7182" s="3" t="s">
        <v>7219</v>
      </c>
      <c r="C7182" s="3" t="s">
        <v>7414</v>
      </c>
      <c r="D7182" s="4" t="str">
        <f t="shared" si="418"/>
        <v>12Go Link</v>
      </c>
      <c r="E7182" s="3" t="s">
        <v>7409</v>
      </c>
      <c r="K7182" s="5"/>
    </row>
    <row r="7183">
      <c r="A7183" s="3" t="s">
        <v>7219</v>
      </c>
      <c r="B7183" s="3" t="s">
        <v>7219</v>
      </c>
      <c r="C7183" s="3" t="s">
        <v>7414</v>
      </c>
      <c r="D7183" s="4" t="str">
        <f t="shared" si="418"/>
        <v>12Go Link</v>
      </c>
      <c r="E7183" s="3" t="s">
        <v>228</v>
      </c>
      <c r="K7183" s="5"/>
    </row>
    <row r="7184">
      <c r="A7184" s="3" t="s">
        <v>7219</v>
      </c>
      <c r="B7184" s="3" t="s">
        <v>7219</v>
      </c>
      <c r="C7184" s="3" t="s">
        <v>7415</v>
      </c>
      <c r="D7184" s="4" t="str">
        <f t="shared" ref="D7184:D7186" si="419">HYPERLINK("https://12go.asia/en/travel/Kuala-Lumpur-Airport/Desa-ParkCity-Transfer", "12Go Link")</f>
        <v>12Go Link</v>
      </c>
      <c r="E7184" s="3" t="s">
        <v>3196</v>
      </c>
      <c r="K7184" s="5"/>
    </row>
    <row r="7185">
      <c r="A7185" s="3" t="s">
        <v>7219</v>
      </c>
      <c r="B7185" s="3" t="s">
        <v>7219</v>
      </c>
      <c r="C7185" s="3" t="s">
        <v>7415</v>
      </c>
      <c r="D7185" s="4" t="str">
        <f t="shared" si="419"/>
        <v>12Go Link</v>
      </c>
      <c r="E7185" s="3" t="s">
        <v>7409</v>
      </c>
      <c r="K7185" s="5"/>
    </row>
    <row r="7186">
      <c r="A7186" s="3" t="s">
        <v>7219</v>
      </c>
      <c r="B7186" s="3" t="s">
        <v>7219</v>
      </c>
      <c r="C7186" s="3" t="s">
        <v>7415</v>
      </c>
      <c r="D7186" s="4" t="str">
        <f t="shared" si="419"/>
        <v>12Go Link</v>
      </c>
      <c r="E7186" s="3" t="s">
        <v>228</v>
      </c>
      <c r="K7186" s="5"/>
    </row>
    <row r="7187">
      <c r="A7187" s="3" t="s">
        <v>7219</v>
      </c>
      <c r="B7187" s="3" t="s">
        <v>7219</v>
      </c>
      <c r="C7187" s="3" t="s">
        <v>7416</v>
      </c>
      <c r="D7187" s="4" t="str">
        <f t="shared" ref="D7187:D7189" si="420">HYPERLINK("https://12go.asia/en/travel/Kuala-Lumpur-Airport/Kajang-Transfer", "12Go Link")</f>
        <v>12Go Link</v>
      </c>
      <c r="E7187" s="3" t="s">
        <v>3196</v>
      </c>
      <c r="K7187" s="5"/>
    </row>
    <row r="7188">
      <c r="A7188" s="3" t="s">
        <v>7219</v>
      </c>
      <c r="B7188" s="3" t="s">
        <v>7219</v>
      </c>
      <c r="C7188" s="3" t="s">
        <v>7416</v>
      </c>
      <c r="D7188" s="4" t="str">
        <f t="shared" si="420"/>
        <v>12Go Link</v>
      </c>
      <c r="E7188" s="3" t="s">
        <v>7409</v>
      </c>
      <c r="K7188" s="5"/>
    </row>
    <row r="7189">
      <c r="A7189" s="3" t="s">
        <v>7219</v>
      </c>
      <c r="B7189" s="3" t="s">
        <v>7219</v>
      </c>
      <c r="C7189" s="3" t="s">
        <v>7416</v>
      </c>
      <c r="D7189" s="4" t="str">
        <f t="shared" si="420"/>
        <v>12Go Link</v>
      </c>
      <c r="E7189" s="3" t="s">
        <v>228</v>
      </c>
      <c r="K7189" s="5"/>
    </row>
    <row r="7190">
      <c r="A7190" s="3" t="s">
        <v>7219</v>
      </c>
      <c r="B7190" s="3" t="s">
        <v>7219</v>
      </c>
      <c r="C7190" s="3" t="s">
        <v>7417</v>
      </c>
      <c r="D7190" s="4" t="str">
        <f t="shared" ref="D7190:D7192" si="421">HYPERLINK("https://12go.asia/en/travel/Kuala-Lumpur-Airport/Kepong-Transfer", "12Go Link")</f>
        <v>12Go Link</v>
      </c>
      <c r="E7190" s="3" t="s">
        <v>3196</v>
      </c>
      <c r="K7190" s="5"/>
    </row>
    <row r="7191">
      <c r="A7191" s="3" t="s">
        <v>7219</v>
      </c>
      <c r="B7191" s="3" t="s">
        <v>7219</v>
      </c>
      <c r="C7191" s="3" t="s">
        <v>7417</v>
      </c>
      <c r="D7191" s="4" t="str">
        <f t="shared" si="421"/>
        <v>12Go Link</v>
      </c>
      <c r="E7191" s="3" t="s">
        <v>7409</v>
      </c>
      <c r="K7191" s="5"/>
    </row>
    <row r="7192">
      <c r="A7192" s="3" t="s">
        <v>7219</v>
      </c>
      <c r="B7192" s="3" t="s">
        <v>7219</v>
      </c>
      <c r="C7192" s="3" t="s">
        <v>7417</v>
      </c>
      <c r="D7192" s="4" t="str">
        <f t="shared" si="421"/>
        <v>12Go Link</v>
      </c>
      <c r="E7192" s="3" t="s">
        <v>228</v>
      </c>
      <c r="K7192" s="5"/>
    </row>
    <row r="7193">
      <c r="A7193" s="3" t="s">
        <v>7219</v>
      </c>
      <c r="B7193" s="3" t="s">
        <v>7219</v>
      </c>
      <c r="C7193" s="3" t="s">
        <v>7418</v>
      </c>
      <c r="D7193" s="4" t="str">
        <f t="shared" ref="D7193:D7195" si="422">HYPERLINK("https://12go.asia/en/travel/Kuala-Lumpur-Airport/Kuala-Lumpur-Hotel-Transfer", "12Go Link")</f>
        <v>12Go Link</v>
      </c>
      <c r="E7193" s="3" t="s">
        <v>3196</v>
      </c>
      <c r="K7193" s="5"/>
    </row>
    <row r="7194">
      <c r="A7194" s="3" t="s">
        <v>7219</v>
      </c>
      <c r="B7194" s="3" t="s">
        <v>7219</v>
      </c>
      <c r="C7194" s="3" t="s">
        <v>7418</v>
      </c>
      <c r="D7194" s="4" t="str">
        <f t="shared" si="422"/>
        <v>12Go Link</v>
      </c>
      <c r="E7194" s="3" t="s">
        <v>7409</v>
      </c>
      <c r="K7194" s="5"/>
    </row>
    <row r="7195">
      <c r="A7195" s="3" t="s">
        <v>7219</v>
      </c>
      <c r="B7195" s="3" t="s">
        <v>7219</v>
      </c>
      <c r="C7195" s="3" t="s">
        <v>7418</v>
      </c>
      <c r="D7195" s="4" t="str">
        <f t="shared" si="422"/>
        <v>12Go Link</v>
      </c>
      <c r="E7195" s="3" t="s">
        <v>228</v>
      </c>
      <c r="K7195" s="5"/>
    </row>
    <row r="7196">
      <c r="A7196" s="3" t="s">
        <v>7219</v>
      </c>
      <c r="B7196" s="3" t="s">
        <v>7219</v>
      </c>
      <c r="C7196" s="3" t="s">
        <v>7419</v>
      </c>
      <c r="D7196" s="4" t="str">
        <f t="shared" ref="D7196:D7198" si="423">HYPERLINK("https://12go.asia/en/travel/Kuala-Lumpur-Airport/Mont-Kiara-Transfer", "12Go Link")</f>
        <v>12Go Link</v>
      </c>
      <c r="E7196" s="3" t="s">
        <v>3196</v>
      </c>
      <c r="K7196" s="5"/>
    </row>
    <row r="7197">
      <c r="A7197" s="3" t="s">
        <v>7219</v>
      </c>
      <c r="B7197" s="3" t="s">
        <v>7219</v>
      </c>
      <c r="C7197" s="3" t="s">
        <v>7419</v>
      </c>
      <c r="D7197" s="4" t="str">
        <f t="shared" si="423"/>
        <v>12Go Link</v>
      </c>
      <c r="E7197" s="3" t="s">
        <v>7409</v>
      </c>
      <c r="K7197" s="5"/>
    </row>
    <row r="7198">
      <c r="A7198" s="3" t="s">
        <v>7219</v>
      </c>
      <c r="B7198" s="3" t="s">
        <v>7219</v>
      </c>
      <c r="C7198" s="3" t="s">
        <v>7419</v>
      </c>
      <c r="D7198" s="4" t="str">
        <f t="shared" si="423"/>
        <v>12Go Link</v>
      </c>
      <c r="E7198" s="3" t="s">
        <v>228</v>
      </c>
      <c r="K7198" s="5"/>
    </row>
    <row r="7199">
      <c r="A7199" s="3" t="s">
        <v>7219</v>
      </c>
      <c r="B7199" s="3" t="s">
        <v>7219</v>
      </c>
      <c r="C7199" s="3" t="s">
        <v>7420</v>
      </c>
      <c r="D7199" s="4" t="str">
        <f t="shared" ref="D7199:D7201" si="424">HYPERLINK("https://12go.asia/en/travel/Kuala-Lumpur-Airport/Overseas-Union-Garden", "12Go Link")</f>
        <v>12Go Link</v>
      </c>
      <c r="E7199" s="3" t="s">
        <v>3196</v>
      </c>
      <c r="K7199" s="5"/>
    </row>
    <row r="7200">
      <c r="A7200" s="3" t="s">
        <v>7219</v>
      </c>
      <c r="B7200" s="3" t="s">
        <v>7219</v>
      </c>
      <c r="C7200" s="3" t="s">
        <v>7420</v>
      </c>
      <c r="D7200" s="4" t="str">
        <f t="shared" si="424"/>
        <v>12Go Link</v>
      </c>
      <c r="E7200" s="3" t="s">
        <v>7409</v>
      </c>
      <c r="K7200" s="5"/>
    </row>
    <row r="7201">
      <c r="A7201" s="3" t="s">
        <v>7219</v>
      </c>
      <c r="B7201" s="3" t="s">
        <v>7219</v>
      </c>
      <c r="C7201" s="3" t="s">
        <v>7420</v>
      </c>
      <c r="D7201" s="4" t="str">
        <f t="shared" si="424"/>
        <v>12Go Link</v>
      </c>
      <c r="E7201" s="3" t="s">
        <v>228</v>
      </c>
      <c r="K7201" s="5"/>
    </row>
    <row r="7202">
      <c r="A7202" s="3" t="s">
        <v>7219</v>
      </c>
      <c r="B7202" s="3" t="s">
        <v>7219</v>
      </c>
      <c r="C7202" s="3" t="s">
        <v>7421</v>
      </c>
      <c r="D7202" s="4" t="str">
        <f t="shared" ref="D7202:D7204" si="425">HYPERLINK("https://12go.asia/en/travel/Kuala-Lumpur-Airport/Pandan-Indah-Transfer", "12Go Link")</f>
        <v>12Go Link</v>
      </c>
      <c r="E7202" s="3" t="s">
        <v>3196</v>
      </c>
      <c r="K7202" s="5"/>
    </row>
    <row r="7203">
      <c r="A7203" s="3" t="s">
        <v>7219</v>
      </c>
      <c r="B7203" s="3" t="s">
        <v>7219</v>
      </c>
      <c r="C7203" s="3" t="s">
        <v>7421</v>
      </c>
      <c r="D7203" s="4" t="str">
        <f t="shared" si="425"/>
        <v>12Go Link</v>
      </c>
      <c r="E7203" s="3" t="s">
        <v>7409</v>
      </c>
      <c r="K7203" s="5"/>
    </row>
    <row r="7204">
      <c r="A7204" s="3" t="s">
        <v>7219</v>
      </c>
      <c r="B7204" s="3" t="s">
        <v>7219</v>
      </c>
      <c r="C7204" s="3" t="s">
        <v>7421</v>
      </c>
      <c r="D7204" s="4" t="str">
        <f t="shared" si="425"/>
        <v>12Go Link</v>
      </c>
      <c r="E7204" s="3" t="s">
        <v>228</v>
      </c>
      <c r="K7204" s="5"/>
    </row>
    <row r="7205">
      <c r="A7205" s="3" t="s">
        <v>7219</v>
      </c>
      <c r="B7205" s="3" t="s">
        <v>7219</v>
      </c>
      <c r="C7205" s="3" t="s">
        <v>7422</v>
      </c>
      <c r="D7205" s="4" t="str">
        <f t="shared" ref="D7205:D7207" si="426">HYPERLINK("https://12go.asia/en/travel/Kuala-Lumpur-Airport/Putrajaya-Transfer", "12Go Link")</f>
        <v>12Go Link</v>
      </c>
      <c r="E7205" s="3" t="s">
        <v>3196</v>
      </c>
      <c r="K7205" s="5"/>
    </row>
    <row r="7206">
      <c r="A7206" s="3" t="s">
        <v>7219</v>
      </c>
      <c r="B7206" s="3" t="s">
        <v>7219</v>
      </c>
      <c r="C7206" s="3" t="s">
        <v>7422</v>
      </c>
      <c r="D7206" s="4" t="str">
        <f t="shared" si="426"/>
        <v>12Go Link</v>
      </c>
      <c r="E7206" s="3" t="s">
        <v>7409</v>
      </c>
      <c r="K7206" s="5"/>
    </row>
    <row r="7207">
      <c r="A7207" s="3" t="s">
        <v>7219</v>
      </c>
      <c r="B7207" s="3" t="s">
        <v>7219</v>
      </c>
      <c r="C7207" s="3" t="s">
        <v>7422</v>
      </c>
      <c r="D7207" s="4" t="str">
        <f t="shared" si="426"/>
        <v>12Go Link</v>
      </c>
      <c r="E7207" s="3" t="s">
        <v>228</v>
      </c>
      <c r="K7207" s="5"/>
    </row>
    <row r="7208">
      <c r="A7208" s="3" t="s">
        <v>7219</v>
      </c>
      <c r="B7208" s="3" t="s">
        <v>7219</v>
      </c>
      <c r="C7208" s="3" t="s">
        <v>7423</v>
      </c>
      <c r="D7208" s="4" t="str">
        <f t="shared" ref="D7208:D7210" si="427">HYPERLINK("https://12go.asia/en/travel/Kuala-Lumpur-Airport/Sri-Hartamas-Transfer", "12Go Link")</f>
        <v>12Go Link</v>
      </c>
      <c r="E7208" s="3" t="s">
        <v>3196</v>
      </c>
      <c r="K7208" s="5"/>
    </row>
    <row r="7209">
      <c r="A7209" s="3" t="s">
        <v>7219</v>
      </c>
      <c r="B7209" s="3" t="s">
        <v>7219</v>
      </c>
      <c r="C7209" s="3" t="s">
        <v>7423</v>
      </c>
      <c r="D7209" s="4" t="str">
        <f t="shared" si="427"/>
        <v>12Go Link</v>
      </c>
      <c r="E7209" s="3" t="s">
        <v>7409</v>
      </c>
      <c r="K7209" s="5"/>
    </row>
    <row r="7210">
      <c r="A7210" s="3" t="s">
        <v>7219</v>
      </c>
      <c r="B7210" s="3" t="s">
        <v>7219</v>
      </c>
      <c r="C7210" s="3" t="s">
        <v>7423</v>
      </c>
      <c r="D7210" s="4" t="str">
        <f t="shared" si="427"/>
        <v>12Go Link</v>
      </c>
      <c r="E7210" s="3" t="s">
        <v>228</v>
      </c>
      <c r="K7210" s="5"/>
    </row>
    <row r="7211">
      <c r="A7211" s="3" t="s">
        <v>7219</v>
      </c>
      <c r="B7211" s="3" t="s">
        <v>7219</v>
      </c>
      <c r="C7211" s="3" t="s">
        <v>7424</v>
      </c>
      <c r="D7211" s="4" t="str">
        <f t="shared" ref="D7211:D7213" si="428">HYPERLINK("https://12go.asia/en/travel/Kuala-Lumpur-Airport/Sri-Petaling-Transfer", "12Go Link")</f>
        <v>12Go Link</v>
      </c>
      <c r="E7211" s="3" t="s">
        <v>3196</v>
      </c>
      <c r="K7211" s="5"/>
    </row>
    <row r="7212">
      <c r="A7212" s="3" t="s">
        <v>7219</v>
      </c>
      <c r="B7212" s="3" t="s">
        <v>7219</v>
      </c>
      <c r="C7212" s="3" t="s">
        <v>7424</v>
      </c>
      <c r="D7212" s="4" t="str">
        <f t="shared" si="428"/>
        <v>12Go Link</v>
      </c>
      <c r="E7212" s="3" t="s">
        <v>7409</v>
      </c>
      <c r="K7212" s="5"/>
    </row>
    <row r="7213">
      <c r="A7213" s="3" t="s">
        <v>7219</v>
      </c>
      <c r="B7213" s="3" t="s">
        <v>7219</v>
      </c>
      <c r="C7213" s="3" t="s">
        <v>7424</v>
      </c>
      <c r="D7213" s="4" t="str">
        <f t="shared" si="428"/>
        <v>12Go Link</v>
      </c>
      <c r="E7213" s="3" t="s">
        <v>228</v>
      </c>
      <c r="K7213" s="5"/>
    </row>
    <row r="7214">
      <c r="A7214" s="3" t="s">
        <v>7219</v>
      </c>
      <c r="B7214" s="3" t="s">
        <v>7219</v>
      </c>
      <c r="C7214" s="3" t="s">
        <v>7425</v>
      </c>
      <c r="D7214" s="4" t="str">
        <f t="shared" ref="D7214:D7216" si="429">HYPERLINK("https://12go.asia/en/travel/Kuala-Lumpur-Airport/Sungai-Besi-Transfer", "12Go Link")</f>
        <v>12Go Link</v>
      </c>
      <c r="E7214" s="3" t="s">
        <v>3196</v>
      </c>
      <c r="K7214" s="5"/>
    </row>
    <row r="7215">
      <c r="A7215" s="3" t="s">
        <v>7219</v>
      </c>
      <c r="B7215" s="3" t="s">
        <v>7219</v>
      </c>
      <c r="C7215" s="3" t="s">
        <v>7425</v>
      </c>
      <c r="D7215" s="4" t="str">
        <f t="shared" si="429"/>
        <v>12Go Link</v>
      </c>
      <c r="E7215" s="3" t="s">
        <v>7409</v>
      </c>
      <c r="K7215" s="5"/>
    </row>
    <row r="7216">
      <c r="A7216" s="3" t="s">
        <v>7219</v>
      </c>
      <c r="B7216" s="3" t="s">
        <v>7219</v>
      </c>
      <c r="C7216" s="3" t="s">
        <v>7425</v>
      </c>
      <c r="D7216" s="4" t="str">
        <f t="shared" si="429"/>
        <v>12Go Link</v>
      </c>
      <c r="E7216" s="3" t="s">
        <v>228</v>
      </c>
      <c r="K7216" s="5"/>
    </row>
    <row r="7217">
      <c r="A7217" s="3" t="s">
        <v>7219</v>
      </c>
      <c r="B7217" s="3" t="s">
        <v>7219</v>
      </c>
      <c r="C7217" s="3" t="s">
        <v>7426</v>
      </c>
      <c r="D7217" s="4" t="str">
        <f t="shared" ref="D7217:D7219" si="430">HYPERLINK("https://12go.asia/en/travel/Kuala-Lumpur-Airport/Taman-Connaught-Transfer", "12Go Link")</f>
        <v>12Go Link</v>
      </c>
      <c r="E7217" s="3" t="s">
        <v>3196</v>
      </c>
      <c r="K7217" s="5"/>
    </row>
    <row r="7218">
      <c r="A7218" s="3" t="s">
        <v>7219</v>
      </c>
      <c r="B7218" s="3" t="s">
        <v>7219</v>
      </c>
      <c r="C7218" s="3" t="s">
        <v>7426</v>
      </c>
      <c r="D7218" s="4" t="str">
        <f t="shared" si="430"/>
        <v>12Go Link</v>
      </c>
      <c r="E7218" s="3" t="s">
        <v>7409</v>
      </c>
      <c r="K7218" s="5"/>
    </row>
    <row r="7219">
      <c r="A7219" s="3" t="s">
        <v>7219</v>
      </c>
      <c r="B7219" s="3" t="s">
        <v>7219</v>
      </c>
      <c r="C7219" s="3" t="s">
        <v>7426</v>
      </c>
      <c r="D7219" s="4" t="str">
        <f t="shared" si="430"/>
        <v>12Go Link</v>
      </c>
      <c r="E7219" s="3" t="s">
        <v>228</v>
      </c>
      <c r="K7219" s="5"/>
    </row>
    <row r="7220">
      <c r="A7220" s="3" t="s">
        <v>7219</v>
      </c>
      <c r="B7220" s="3" t="s">
        <v>7219</v>
      </c>
      <c r="C7220" s="3" t="s">
        <v>7427</v>
      </c>
      <c r="D7220" s="4" t="str">
        <f t="shared" ref="D7220:D7222" si="431">HYPERLINK("https://12go.asia/en/travel/Kuala-Lumpur-Airport/Taman-Desa-Transfer", "12Go Link")</f>
        <v>12Go Link</v>
      </c>
      <c r="E7220" s="3" t="s">
        <v>3196</v>
      </c>
      <c r="K7220" s="5"/>
    </row>
    <row r="7221">
      <c r="A7221" s="3" t="s">
        <v>7219</v>
      </c>
      <c r="B7221" s="3" t="s">
        <v>7219</v>
      </c>
      <c r="C7221" s="3" t="s">
        <v>7427</v>
      </c>
      <c r="D7221" s="4" t="str">
        <f t="shared" si="431"/>
        <v>12Go Link</v>
      </c>
      <c r="E7221" s="3" t="s">
        <v>7409</v>
      </c>
      <c r="K7221" s="5"/>
    </row>
    <row r="7222">
      <c r="A7222" s="3" t="s">
        <v>7219</v>
      </c>
      <c r="B7222" s="3" t="s">
        <v>7219</v>
      </c>
      <c r="C7222" s="3" t="s">
        <v>7427</v>
      </c>
      <c r="D7222" s="4" t="str">
        <f t="shared" si="431"/>
        <v>12Go Link</v>
      </c>
      <c r="E7222" s="3" t="s">
        <v>228</v>
      </c>
      <c r="K7222" s="5"/>
    </row>
    <row r="7223">
      <c r="A7223" s="3" t="s">
        <v>7219</v>
      </c>
      <c r="B7223" s="3" t="s">
        <v>7219</v>
      </c>
      <c r="C7223" s="3" t="s">
        <v>7428</v>
      </c>
      <c r="D7223" s="4" t="str">
        <f t="shared" ref="D7223:D7225" si="432">HYPERLINK("https://12go.asia/en/travel/Kuala-Lumpur-Airport/Taman-Tun-Dr-Ismail-Transfer", "12Go Link")</f>
        <v>12Go Link</v>
      </c>
      <c r="E7223" s="3" t="s">
        <v>3196</v>
      </c>
      <c r="K7223" s="5"/>
    </row>
    <row r="7224">
      <c r="A7224" s="3" t="s">
        <v>7219</v>
      </c>
      <c r="B7224" s="3" t="s">
        <v>7219</v>
      </c>
      <c r="C7224" s="3" t="s">
        <v>7428</v>
      </c>
      <c r="D7224" s="4" t="str">
        <f t="shared" si="432"/>
        <v>12Go Link</v>
      </c>
      <c r="E7224" s="3" t="s">
        <v>7409</v>
      </c>
      <c r="K7224" s="5"/>
    </row>
    <row r="7225">
      <c r="A7225" s="3" t="s">
        <v>7219</v>
      </c>
      <c r="B7225" s="3" t="s">
        <v>7219</v>
      </c>
      <c r="C7225" s="3" t="s">
        <v>7428</v>
      </c>
      <c r="D7225" s="4" t="str">
        <f t="shared" si="432"/>
        <v>12Go Link</v>
      </c>
      <c r="E7225" s="3" t="s">
        <v>228</v>
      </c>
      <c r="K7225" s="5"/>
    </row>
    <row r="7226">
      <c r="A7226" s="3" t="s">
        <v>7219</v>
      </c>
      <c r="B7226" s="3" t="s">
        <v>7219</v>
      </c>
      <c r="C7226" s="3" t="s">
        <v>7429</v>
      </c>
      <c r="D7226" s="4" t="str">
        <f t="shared" ref="D7226:D7228" si="433">HYPERLINK("https://12go.asia/en/travel/Kuala-Lumpur-Airport/Wangsa-Maju-Transfer", "12Go Link")</f>
        <v>12Go Link</v>
      </c>
      <c r="E7226" s="3" t="s">
        <v>3196</v>
      </c>
      <c r="K7226" s="5"/>
    </row>
    <row r="7227">
      <c r="A7227" s="3" t="s">
        <v>7219</v>
      </c>
      <c r="B7227" s="3" t="s">
        <v>7219</v>
      </c>
      <c r="C7227" s="3" t="s">
        <v>7429</v>
      </c>
      <c r="D7227" s="4" t="str">
        <f t="shared" si="433"/>
        <v>12Go Link</v>
      </c>
      <c r="E7227" s="3" t="s">
        <v>7409</v>
      </c>
      <c r="K7227" s="5"/>
    </row>
    <row r="7228">
      <c r="A7228" s="3" t="s">
        <v>7219</v>
      </c>
      <c r="B7228" s="3" t="s">
        <v>7219</v>
      </c>
      <c r="C7228" s="3" t="s">
        <v>7429</v>
      </c>
      <c r="D7228" s="4" t="str">
        <f t="shared" si="433"/>
        <v>12Go Link</v>
      </c>
      <c r="E7228" s="3" t="s">
        <v>228</v>
      </c>
      <c r="K7228" s="5"/>
    </row>
    <row r="7229">
      <c r="A7229" s="3" t="s">
        <v>7219</v>
      </c>
      <c r="B7229" s="3" t="s">
        <v>7430</v>
      </c>
      <c r="C7229" s="3" t="s">
        <v>7431</v>
      </c>
      <c r="D7229" s="4" t="str">
        <f t="shared" ref="D7229:D7231" si="434">HYPERLINK("https://12go.asia/en/travel/Kuala-Lumpur-Airport/Bukit-Tinggi-Transfer", "12Go Link")</f>
        <v>12Go Link</v>
      </c>
      <c r="E7229" s="3" t="s">
        <v>3196</v>
      </c>
      <c r="K7229" s="5"/>
    </row>
    <row r="7230">
      <c r="A7230" s="3" t="s">
        <v>7219</v>
      </c>
      <c r="B7230" s="3" t="s">
        <v>7430</v>
      </c>
      <c r="C7230" s="3" t="s">
        <v>7431</v>
      </c>
      <c r="D7230" s="4" t="str">
        <f t="shared" si="434"/>
        <v>12Go Link</v>
      </c>
      <c r="E7230" s="3" t="s">
        <v>7409</v>
      </c>
      <c r="K7230" s="5"/>
    </row>
    <row r="7231">
      <c r="A7231" s="3" t="s">
        <v>7219</v>
      </c>
      <c r="B7231" s="3" t="s">
        <v>7430</v>
      </c>
      <c r="C7231" s="3" t="s">
        <v>7431</v>
      </c>
      <c r="D7231" s="4" t="str">
        <f t="shared" si="434"/>
        <v>12Go Link</v>
      </c>
      <c r="E7231" s="3" t="s">
        <v>228</v>
      </c>
      <c r="K7231" s="5"/>
    </row>
    <row r="7232">
      <c r="A7232" s="3" t="s">
        <v>7219</v>
      </c>
      <c r="B7232" s="3" t="s">
        <v>6823</v>
      </c>
      <c r="C7232" s="3" t="s">
        <v>7432</v>
      </c>
      <c r="D7232" s="4" t="str">
        <f t="shared" ref="D7232:D7234" si="435">HYPERLINK("https://12go.asia/en/travel/Kuala-Lumpur-Airport/Subang-Jaya-Transfer", "12Go Link")</f>
        <v>12Go Link</v>
      </c>
      <c r="E7232" s="3" t="s">
        <v>3196</v>
      </c>
      <c r="K7232" s="5"/>
    </row>
    <row r="7233">
      <c r="A7233" s="3" t="s">
        <v>7219</v>
      </c>
      <c r="B7233" s="3" t="s">
        <v>6823</v>
      </c>
      <c r="C7233" s="3" t="s">
        <v>7432</v>
      </c>
      <c r="D7233" s="4" t="str">
        <f t="shared" si="435"/>
        <v>12Go Link</v>
      </c>
      <c r="E7233" s="3" t="s">
        <v>7409</v>
      </c>
      <c r="K7233" s="5"/>
    </row>
    <row r="7234">
      <c r="A7234" s="3" t="s">
        <v>7219</v>
      </c>
      <c r="B7234" s="3" t="s">
        <v>6823</v>
      </c>
      <c r="C7234" s="3" t="s">
        <v>7432</v>
      </c>
      <c r="D7234" s="4" t="str">
        <f t="shared" si="435"/>
        <v>12Go Link</v>
      </c>
      <c r="E7234" s="3" t="s">
        <v>228</v>
      </c>
      <c r="K7234" s="5"/>
    </row>
    <row r="7235">
      <c r="A7235" s="3" t="s">
        <v>7219</v>
      </c>
      <c r="B7235" s="3" t="s">
        <v>7433</v>
      </c>
      <c r="C7235" s="3" t="s">
        <v>7434</v>
      </c>
      <c r="D7235" s="4" t="str">
        <f t="shared" ref="D7235:D7237" si="436">HYPERLINK("https://12go.asia/en/travel/Kuala-Lumpur-Airport/Rawang-Hotel-Transfer", "12Go Link")</f>
        <v>12Go Link</v>
      </c>
      <c r="E7235" s="3" t="s">
        <v>3196</v>
      </c>
      <c r="K7235" s="5"/>
    </row>
    <row r="7236">
      <c r="A7236" s="3" t="s">
        <v>7219</v>
      </c>
      <c r="B7236" s="3" t="s">
        <v>7433</v>
      </c>
      <c r="C7236" s="3" t="s">
        <v>7434</v>
      </c>
      <c r="D7236" s="4" t="str">
        <f t="shared" si="436"/>
        <v>12Go Link</v>
      </c>
      <c r="E7236" s="3" t="s">
        <v>7409</v>
      </c>
      <c r="K7236" s="5"/>
    </row>
    <row r="7237">
      <c r="A7237" s="3" t="s">
        <v>7219</v>
      </c>
      <c r="B7237" s="3" t="s">
        <v>7433</v>
      </c>
      <c r="C7237" s="3" t="s">
        <v>7434</v>
      </c>
      <c r="D7237" s="4" t="str">
        <f t="shared" si="436"/>
        <v>12Go Link</v>
      </c>
      <c r="E7237" s="3" t="s">
        <v>228</v>
      </c>
      <c r="K7237" s="5"/>
    </row>
    <row r="7238">
      <c r="A7238" s="3" t="s">
        <v>7219</v>
      </c>
      <c r="B7238" s="3" t="s">
        <v>7435</v>
      </c>
      <c r="C7238" s="3" t="s">
        <v>7436</v>
      </c>
      <c r="D7238" s="4" t="str">
        <f t="shared" ref="D7238:D7240" si="437">HYPERLINK("https://12go.asia/en/travel/Kuala-Lumpur-Airport/Ara-Damansara-Transfer", "12Go Link")</f>
        <v>12Go Link</v>
      </c>
      <c r="E7238" s="3" t="s">
        <v>3196</v>
      </c>
      <c r="K7238" s="5"/>
    </row>
    <row r="7239">
      <c r="A7239" s="3" t="s">
        <v>7219</v>
      </c>
      <c r="B7239" s="3" t="s">
        <v>7435</v>
      </c>
      <c r="C7239" s="3" t="s">
        <v>7436</v>
      </c>
      <c r="D7239" s="4" t="str">
        <f t="shared" si="437"/>
        <v>12Go Link</v>
      </c>
      <c r="E7239" s="3" t="s">
        <v>7409</v>
      </c>
      <c r="K7239" s="5"/>
    </row>
    <row r="7240">
      <c r="A7240" s="3" t="s">
        <v>7219</v>
      </c>
      <c r="B7240" s="3" t="s">
        <v>7435</v>
      </c>
      <c r="C7240" s="3" t="s">
        <v>7436</v>
      </c>
      <c r="D7240" s="4" t="str">
        <f t="shared" si="437"/>
        <v>12Go Link</v>
      </c>
      <c r="E7240" s="3" t="s">
        <v>228</v>
      </c>
      <c r="K7240" s="5"/>
    </row>
    <row r="7241">
      <c r="A7241" s="3" t="s">
        <v>7219</v>
      </c>
      <c r="B7241" s="3" t="s">
        <v>7435</v>
      </c>
      <c r="C7241" s="3" t="s">
        <v>7437</v>
      </c>
      <c r="D7241" s="4" t="str">
        <f t="shared" ref="D7241:D7243" si="438">HYPERLINK("https://12go.asia/en/travel/Kuala-Lumpur-Airport/Bandar-Kinrara-Transfer", "12Go Link")</f>
        <v>12Go Link</v>
      </c>
      <c r="E7241" s="3" t="s">
        <v>3196</v>
      </c>
      <c r="K7241" s="5"/>
    </row>
    <row r="7242">
      <c r="A7242" s="3" t="s">
        <v>7219</v>
      </c>
      <c r="B7242" s="3" t="s">
        <v>7435</v>
      </c>
      <c r="C7242" s="3" t="s">
        <v>7437</v>
      </c>
      <c r="D7242" s="4" t="str">
        <f t="shared" si="438"/>
        <v>12Go Link</v>
      </c>
      <c r="E7242" s="3" t="s">
        <v>7409</v>
      </c>
      <c r="K7242" s="5"/>
    </row>
    <row r="7243">
      <c r="A7243" s="3" t="s">
        <v>7219</v>
      </c>
      <c r="B7243" s="3" t="s">
        <v>7435</v>
      </c>
      <c r="C7243" s="3" t="s">
        <v>7437</v>
      </c>
      <c r="D7243" s="4" t="str">
        <f t="shared" si="438"/>
        <v>12Go Link</v>
      </c>
      <c r="E7243" s="3" t="s">
        <v>228</v>
      </c>
      <c r="K7243" s="5"/>
    </row>
    <row r="7244">
      <c r="A7244" s="3" t="s">
        <v>7219</v>
      </c>
      <c r="B7244" s="3" t="s">
        <v>7435</v>
      </c>
      <c r="C7244" s="3" t="s">
        <v>7438</v>
      </c>
      <c r="D7244" s="4" t="str">
        <f t="shared" ref="D7244:D7246" si="439">HYPERLINK("https://12go.asia/en/travel/Kuala-Lumpur-Airport/Bandar-Sunway-Transfer", "12Go Link")</f>
        <v>12Go Link</v>
      </c>
      <c r="E7244" s="3" t="s">
        <v>3196</v>
      </c>
      <c r="K7244" s="5"/>
    </row>
    <row r="7245">
      <c r="A7245" s="3" t="s">
        <v>7219</v>
      </c>
      <c r="B7245" s="3" t="s">
        <v>7435</v>
      </c>
      <c r="C7245" s="3" t="s">
        <v>7438</v>
      </c>
      <c r="D7245" s="4" t="str">
        <f t="shared" si="439"/>
        <v>12Go Link</v>
      </c>
      <c r="E7245" s="3" t="s">
        <v>7409</v>
      </c>
      <c r="K7245" s="5"/>
    </row>
    <row r="7246">
      <c r="A7246" s="3" t="s">
        <v>7219</v>
      </c>
      <c r="B7246" s="3" t="s">
        <v>7435</v>
      </c>
      <c r="C7246" s="3" t="s">
        <v>7438</v>
      </c>
      <c r="D7246" s="4" t="str">
        <f t="shared" si="439"/>
        <v>12Go Link</v>
      </c>
      <c r="E7246" s="3" t="s">
        <v>228</v>
      </c>
      <c r="K7246" s="5"/>
    </row>
    <row r="7247">
      <c r="A7247" s="3" t="s">
        <v>7219</v>
      </c>
      <c r="B7247" s="3" t="s">
        <v>7435</v>
      </c>
      <c r="C7247" s="3" t="s">
        <v>7439</v>
      </c>
      <c r="D7247" s="4" t="str">
        <f t="shared" ref="D7247:D7249" si="440">HYPERLINK("https://12go.asia/en/travel/Kuala-Lumpur-Airport/Bandar-Utama-Transfer", "12Go Link")</f>
        <v>12Go Link</v>
      </c>
      <c r="E7247" s="3" t="s">
        <v>3196</v>
      </c>
      <c r="K7247" s="5"/>
    </row>
    <row r="7248">
      <c r="A7248" s="3" t="s">
        <v>7219</v>
      </c>
      <c r="B7248" s="3" t="s">
        <v>7435</v>
      </c>
      <c r="C7248" s="3" t="s">
        <v>7439</v>
      </c>
      <c r="D7248" s="4" t="str">
        <f t="shared" si="440"/>
        <v>12Go Link</v>
      </c>
      <c r="E7248" s="3" t="s">
        <v>7409</v>
      </c>
      <c r="K7248" s="5"/>
    </row>
    <row r="7249">
      <c r="A7249" s="3" t="s">
        <v>7219</v>
      </c>
      <c r="B7249" s="3" t="s">
        <v>7435</v>
      </c>
      <c r="C7249" s="3" t="s">
        <v>7439</v>
      </c>
      <c r="D7249" s="4" t="str">
        <f t="shared" si="440"/>
        <v>12Go Link</v>
      </c>
      <c r="E7249" s="3" t="s">
        <v>228</v>
      </c>
      <c r="K7249" s="5"/>
    </row>
    <row r="7250">
      <c r="A7250" s="3" t="s">
        <v>7219</v>
      </c>
      <c r="B7250" s="3" t="s">
        <v>7435</v>
      </c>
      <c r="C7250" s="3" t="s">
        <v>7440</v>
      </c>
      <c r="D7250" s="4" t="str">
        <f t="shared" ref="D7250:D7252" si="441">HYPERLINK("https://12go.asia/en/travel/Kuala-Lumpur-Airport/Bukit-Antarabangsa-Transfer", "12Go Link")</f>
        <v>12Go Link</v>
      </c>
      <c r="E7250" s="3" t="s">
        <v>3196</v>
      </c>
      <c r="K7250" s="5"/>
    </row>
    <row r="7251">
      <c r="A7251" s="3" t="s">
        <v>7219</v>
      </c>
      <c r="B7251" s="3" t="s">
        <v>7435</v>
      </c>
      <c r="C7251" s="3" t="s">
        <v>7440</v>
      </c>
      <c r="D7251" s="4" t="str">
        <f t="shared" si="441"/>
        <v>12Go Link</v>
      </c>
      <c r="E7251" s="3" t="s">
        <v>7409</v>
      </c>
      <c r="K7251" s="5"/>
    </row>
    <row r="7252">
      <c r="A7252" s="3" t="s">
        <v>7219</v>
      </c>
      <c r="B7252" s="3" t="s">
        <v>7435</v>
      </c>
      <c r="C7252" s="3" t="s">
        <v>7440</v>
      </c>
      <c r="D7252" s="4" t="str">
        <f t="shared" si="441"/>
        <v>12Go Link</v>
      </c>
      <c r="E7252" s="3" t="s">
        <v>228</v>
      </c>
      <c r="K7252" s="5"/>
    </row>
    <row r="7253">
      <c r="A7253" s="3" t="s">
        <v>7219</v>
      </c>
      <c r="B7253" s="3" t="s">
        <v>7435</v>
      </c>
      <c r="C7253" s="3" t="s">
        <v>7441</v>
      </c>
      <c r="D7253" s="4" t="str">
        <f t="shared" ref="D7253:D7255" si="442">HYPERLINK("https://12go.asia/en/travel/Kuala-Lumpur-Airport/Cyberjaya-Transfer", "12Go Link")</f>
        <v>12Go Link</v>
      </c>
      <c r="E7253" s="3" t="s">
        <v>3196</v>
      </c>
      <c r="K7253" s="5"/>
    </row>
    <row r="7254">
      <c r="A7254" s="3" t="s">
        <v>7219</v>
      </c>
      <c r="B7254" s="3" t="s">
        <v>7435</v>
      </c>
      <c r="C7254" s="3" t="s">
        <v>7441</v>
      </c>
      <c r="D7254" s="4" t="str">
        <f t="shared" si="442"/>
        <v>12Go Link</v>
      </c>
      <c r="E7254" s="3" t="s">
        <v>7409</v>
      </c>
      <c r="K7254" s="5"/>
    </row>
    <row r="7255">
      <c r="A7255" s="3" t="s">
        <v>7219</v>
      </c>
      <c r="B7255" s="3" t="s">
        <v>7435</v>
      </c>
      <c r="C7255" s="3" t="s">
        <v>7441</v>
      </c>
      <c r="D7255" s="4" t="str">
        <f t="shared" si="442"/>
        <v>12Go Link</v>
      </c>
      <c r="E7255" s="3" t="s">
        <v>228</v>
      </c>
      <c r="K7255" s="5"/>
    </row>
    <row r="7256">
      <c r="A7256" s="3" t="s">
        <v>7219</v>
      </c>
      <c r="B7256" s="3" t="s">
        <v>7435</v>
      </c>
      <c r="C7256" s="3" t="s">
        <v>7442</v>
      </c>
      <c r="D7256" s="4" t="str">
        <f t="shared" ref="D7256:D7258" si="443">HYPERLINK("https://12go.asia/en/travel/Kuala-Lumpur-Airport/Damansara-Perdana-Transfer", "12Go Link")</f>
        <v>12Go Link</v>
      </c>
      <c r="E7256" s="3" t="s">
        <v>3196</v>
      </c>
      <c r="K7256" s="5"/>
    </row>
    <row r="7257">
      <c r="A7257" s="3" t="s">
        <v>7219</v>
      </c>
      <c r="B7257" s="3" t="s">
        <v>7435</v>
      </c>
      <c r="C7257" s="3" t="s">
        <v>7442</v>
      </c>
      <c r="D7257" s="4" t="str">
        <f t="shared" si="443"/>
        <v>12Go Link</v>
      </c>
      <c r="E7257" s="3" t="s">
        <v>7409</v>
      </c>
      <c r="K7257" s="5"/>
    </row>
    <row r="7258">
      <c r="A7258" s="3" t="s">
        <v>7219</v>
      </c>
      <c r="B7258" s="3" t="s">
        <v>7435</v>
      </c>
      <c r="C7258" s="3" t="s">
        <v>7442</v>
      </c>
      <c r="D7258" s="4" t="str">
        <f t="shared" si="443"/>
        <v>12Go Link</v>
      </c>
      <c r="E7258" s="3" t="s">
        <v>228</v>
      </c>
      <c r="K7258" s="5"/>
    </row>
    <row r="7259">
      <c r="A7259" s="3" t="s">
        <v>7219</v>
      </c>
      <c r="B7259" s="3" t="s">
        <v>7435</v>
      </c>
      <c r="C7259" s="3" t="s">
        <v>7443</v>
      </c>
      <c r="D7259" s="4" t="str">
        <f t="shared" ref="D7259:D7261" si="444">HYPERLINK("https://12go.asia/en/travel/Kuala-Lumpur-Airport/Damansara-Transfer", "12Go Link")</f>
        <v>12Go Link</v>
      </c>
      <c r="E7259" s="3" t="s">
        <v>3196</v>
      </c>
      <c r="K7259" s="5"/>
    </row>
    <row r="7260">
      <c r="A7260" s="3" t="s">
        <v>7219</v>
      </c>
      <c r="B7260" s="3" t="s">
        <v>7435</v>
      </c>
      <c r="C7260" s="3" t="s">
        <v>7443</v>
      </c>
      <c r="D7260" s="4" t="str">
        <f t="shared" si="444"/>
        <v>12Go Link</v>
      </c>
      <c r="E7260" s="3" t="s">
        <v>7409</v>
      </c>
      <c r="K7260" s="5"/>
    </row>
    <row r="7261">
      <c r="A7261" s="3" t="s">
        <v>7219</v>
      </c>
      <c r="B7261" s="3" t="s">
        <v>7435</v>
      </c>
      <c r="C7261" s="3" t="s">
        <v>7443</v>
      </c>
      <c r="D7261" s="4" t="str">
        <f t="shared" si="444"/>
        <v>12Go Link</v>
      </c>
      <c r="E7261" s="3" t="s">
        <v>228</v>
      </c>
      <c r="K7261" s="5"/>
    </row>
    <row r="7262">
      <c r="A7262" s="3" t="s">
        <v>7219</v>
      </c>
      <c r="B7262" s="3" t="s">
        <v>7435</v>
      </c>
      <c r="C7262" s="3" t="s">
        <v>7444</v>
      </c>
      <c r="D7262" s="4" t="str">
        <f t="shared" ref="D7262:D7264" si="445">HYPERLINK("https://12go.asia/en/travel/Kuala-Lumpur-Airport/Gombak-Transfer", "12Go Link")</f>
        <v>12Go Link</v>
      </c>
      <c r="E7262" s="3" t="s">
        <v>3196</v>
      </c>
      <c r="K7262" s="5"/>
    </row>
    <row r="7263">
      <c r="A7263" s="3" t="s">
        <v>7219</v>
      </c>
      <c r="B7263" s="3" t="s">
        <v>7435</v>
      </c>
      <c r="C7263" s="3" t="s">
        <v>7444</v>
      </c>
      <c r="D7263" s="4" t="str">
        <f t="shared" si="445"/>
        <v>12Go Link</v>
      </c>
      <c r="E7263" s="3" t="s">
        <v>7409</v>
      </c>
      <c r="K7263" s="5"/>
    </row>
    <row r="7264">
      <c r="A7264" s="3" t="s">
        <v>7219</v>
      </c>
      <c r="B7264" s="3" t="s">
        <v>7435</v>
      </c>
      <c r="C7264" s="3" t="s">
        <v>7444</v>
      </c>
      <c r="D7264" s="4" t="str">
        <f t="shared" si="445"/>
        <v>12Go Link</v>
      </c>
      <c r="E7264" s="3" t="s">
        <v>228</v>
      </c>
      <c r="K7264" s="5"/>
    </row>
    <row r="7265">
      <c r="A7265" s="3" t="s">
        <v>7219</v>
      </c>
      <c r="B7265" s="3" t="s">
        <v>7435</v>
      </c>
      <c r="C7265" s="3" t="s">
        <v>7445</v>
      </c>
      <c r="D7265" s="4" t="str">
        <f t="shared" ref="D7265:D7267" si="446">HYPERLINK("https://12go.asia/en/travel/Kuala-Lumpur-Airport/Kinrara-Transfer", "12Go Link")</f>
        <v>12Go Link</v>
      </c>
      <c r="E7265" s="3" t="s">
        <v>3196</v>
      </c>
      <c r="K7265" s="5"/>
    </row>
    <row r="7266">
      <c r="A7266" s="3" t="s">
        <v>7219</v>
      </c>
      <c r="B7266" s="3" t="s">
        <v>7435</v>
      </c>
      <c r="C7266" s="3" t="s">
        <v>7445</v>
      </c>
      <c r="D7266" s="4" t="str">
        <f t="shared" si="446"/>
        <v>12Go Link</v>
      </c>
      <c r="E7266" s="3" t="s">
        <v>7409</v>
      </c>
      <c r="K7266" s="5"/>
    </row>
    <row r="7267">
      <c r="A7267" s="3" t="s">
        <v>7219</v>
      </c>
      <c r="B7267" s="3" t="s">
        <v>7435</v>
      </c>
      <c r="C7267" s="3" t="s">
        <v>7445</v>
      </c>
      <c r="D7267" s="4" t="str">
        <f t="shared" si="446"/>
        <v>12Go Link</v>
      </c>
      <c r="E7267" s="3" t="s">
        <v>228</v>
      </c>
      <c r="K7267" s="5"/>
    </row>
    <row r="7268">
      <c r="A7268" s="3" t="s">
        <v>7219</v>
      </c>
      <c r="B7268" s="3" t="s">
        <v>7435</v>
      </c>
      <c r="C7268" s="3" t="s">
        <v>7446</v>
      </c>
      <c r="D7268" s="4" t="str">
        <f t="shared" ref="D7268:D7270" si="447">HYPERLINK("https://12go.asia/en/travel/Kuala-Lumpur-Airport/Klang-Transfer", "12Go Link")</f>
        <v>12Go Link</v>
      </c>
      <c r="E7268" s="3" t="s">
        <v>3196</v>
      </c>
      <c r="K7268" s="5"/>
    </row>
    <row r="7269">
      <c r="A7269" s="3" t="s">
        <v>7219</v>
      </c>
      <c r="B7269" s="3" t="s">
        <v>7435</v>
      </c>
      <c r="C7269" s="3" t="s">
        <v>7446</v>
      </c>
      <c r="D7269" s="4" t="str">
        <f t="shared" si="447"/>
        <v>12Go Link</v>
      </c>
      <c r="E7269" s="3" t="s">
        <v>7409</v>
      </c>
      <c r="K7269" s="5"/>
    </row>
    <row r="7270">
      <c r="A7270" s="3" t="s">
        <v>7219</v>
      </c>
      <c r="B7270" s="3" t="s">
        <v>7435</v>
      </c>
      <c r="C7270" s="3" t="s">
        <v>7446</v>
      </c>
      <c r="D7270" s="4" t="str">
        <f t="shared" si="447"/>
        <v>12Go Link</v>
      </c>
      <c r="E7270" s="3" t="s">
        <v>228</v>
      </c>
      <c r="K7270" s="5"/>
    </row>
    <row r="7271">
      <c r="A7271" s="3" t="s">
        <v>7219</v>
      </c>
      <c r="B7271" s="3" t="s">
        <v>7435</v>
      </c>
      <c r="C7271" s="3" t="s">
        <v>7447</v>
      </c>
      <c r="D7271" s="4" t="str">
        <f t="shared" ref="D7271:D7273" si="448">HYPERLINK("https://12go.asia/en/travel/Kuala-Lumpur-Airport/Kota-Damansara-Transfer", "12Go Link")</f>
        <v>12Go Link</v>
      </c>
      <c r="E7271" s="3" t="s">
        <v>3196</v>
      </c>
      <c r="K7271" s="5"/>
    </row>
    <row r="7272">
      <c r="A7272" s="3" t="s">
        <v>7219</v>
      </c>
      <c r="B7272" s="3" t="s">
        <v>7435</v>
      </c>
      <c r="C7272" s="3" t="s">
        <v>7447</v>
      </c>
      <c r="D7272" s="4" t="str">
        <f t="shared" si="448"/>
        <v>12Go Link</v>
      </c>
      <c r="E7272" s="3" t="s">
        <v>7409</v>
      </c>
      <c r="K7272" s="5"/>
    </row>
    <row r="7273">
      <c r="A7273" s="3" t="s">
        <v>7219</v>
      </c>
      <c r="B7273" s="3" t="s">
        <v>7435</v>
      </c>
      <c r="C7273" s="3" t="s">
        <v>7447</v>
      </c>
      <c r="D7273" s="4" t="str">
        <f t="shared" si="448"/>
        <v>12Go Link</v>
      </c>
      <c r="E7273" s="3" t="s">
        <v>228</v>
      </c>
      <c r="K7273" s="5"/>
    </row>
    <row r="7274">
      <c r="A7274" s="3" t="s">
        <v>7219</v>
      </c>
      <c r="B7274" s="3" t="s">
        <v>7435</v>
      </c>
      <c r="C7274" s="3" t="s">
        <v>7448</v>
      </c>
      <c r="D7274" s="4" t="str">
        <f t="shared" ref="D7274:D7276" si="449">HYPERLINK("https://12go.asia/en/travel/Kuala-Lumpur-Airport/Meru-Transfer", "12Go Link")</f>
        <v>12Go Link</v>
      </c>
      <c r="E7274" s="3" t="s">
        <v>3196</v>
      </c>
      <c r="K7274" s="5"/>
    </row>
    <row r="7275">
      <c r="A7275" s="3" t="s">
        <v>7219</v>
      </c>
      <c r="B7275" s="3" t="s">
        <v>7435</v>
      </c>
      <c r="C7275" s="3" t="s">
        <v>7448</v>
      </c>
      <c r="D7275" s="4" t="str">
        <f t="shared" si="449"/>
        <v>12Go Link</v>
      </c>
      <c r="E7275" s="3" t="s">
        <v>7409</v>
      </c>
      <c r="K7275" s="5"/>
    </row>
    <row r="7276">
      <c r="A7276" s="3" t="s">
        <v>7219</v>
      </c>
      <c r="B7276" s="3" t="s">
        <v>7435</v>
      </c>
      <c r="C7276" s="3" t="s">
        <v>7448</v>
      </c>
      <c r="D7276" s="4" t="str">
        <f t="shared" si="449"/>
        <v>12Go Link</v>
      </c>
      <c r="E7276" s="3" t="s">
        <v>228</v>
      </c>
      <c r="K7276" s="5"/>
    </row>
    <row r="7277">
      <c r="A7277" s="3" t="s">
        <v>7219</v>
      </c>
      <c r="B7277" s="3" t="s">
        <v>7435</v>
      </c>
      <c r="C7277" s="3" t="s">
        <v>7449</v>
      </c>
      <c r="D7277" s="4" t="str">
        <f t="shared" ref="D7277:D7279" si="450">HYPERLINK("https://12go.asia/en/travel/Kuala-Lumpur-Airport/Petaling-Jaya-Transfer", "12Go Link")</f>
        <v>12Go Link</v>
      </c>
      <c r="E7277" s="3" t="s">
        <v>3196</v>
      </c>
      <c r="K7277" s="5"/>
    </row>
    <row r="7278">
      <c r="A7278" s="3" t="s">
        <v>7219</v>
      </c>
      <c r="B7278" s="3" t="s">
        <v>7435</v>
      </c>
      <c r="C7278" s="3" t="s">
        <v>7449</v>
      </c>
      <c r="D7278" s="4" t="str">
        <f t="shared" si="450"/>
        <v>12Go Link</v>
      </c>
      <c r="E7278" s="3" t="s">
        <v>7409</v>
      </c>
      <c r="K7278" s="5"/>
    </row>
    <row r="7279">
      <c r="A7279" s="3" t="s">
        <v>7219</v>
      </c>
      <c r="B7279" s="3" t="s">
        <v>7435</v>
      </c>
      <c r="C7279" s="3" t="s">
        <v>7449</v>
      </c>
      <c r="D7279" s="4" t="str">
        <f t="shared" si="450"/>
        <v>12Go Link</v>
      </c>
      <c r="E7279" s="3" t="s">
        <v>228</v>
      </c>
      <c r="K7279" s="5"/>
    </row>
    <row r="7280">
      <c r="A7280" s="3" t="s">
        <v>7219</v>
      </c>
      <c r="B7280" s="3" t="s">
        <v>7435</v>
      </c>
      <c r="C7280" s="3" t="s">
        <v>7450</v>
      </c>
      <c r="D7280" s="4" t="str">
        <f t="shared" ref="D7280:D7282" si="451">HYPERLINK("https://12go.asia/en/travel/Kuala-Lumpur-Airport/Port-Klang", "12Go Link")</f>
        <v>12Go Link</v>
      </c>
      <c r="E7280" s="3" t="s">
        <v>3196</v>
      </c>
      <c r="K7280" s="5"/>
    </row>
    <row r="7281">
      <c r="A7281" s="3" t="s">
        <v>7219</v>
      </c>
      <c r="B7281" s="3" t="s">
        <v>7435</v>
      </c>
      <c r="C7281" s="3" t="s">
        <v>7450</v>
      </c>
      <c r="D7281" s="4" t="str">
        <f t="shared" si="451"/>
        <v>12Go Link</v>
      </c>
      <c r="E7281" s="3" t="s">
        <v>7409</v>
      </c>
      <c r="K7281" s="5"/>
    </row>
    <row r="7282">
      <c r="A7282" s="3" t="s">
        <v>7219</v>
      </c>
      <c r="B7282" s="3" t="s">
        <v>7435</v>
      </c>
      <c r="C7282" s="3" t="s">
        <v>7450</v>
      </c>
      <c r="D7282" s="4" t="str">
        <f t="shared" si="451"/>
        <v>12Go Link</v>
      </c>
      <c r="E7282" s="3" t="s">
        <v>228</v>
      </c>
      <c r="K7282" s="5"/>
    </row>
    <row r="7283">
      <c r="A7283" s="3" t="s">
        <v>7219</v>
      </c>
      <c r="B7283" s="3" t="s">
        <v>7435</v>
      </c>
      <c r="C7283" s="3" t="s">
        <v>7451</v>
      </c>
      <c r="D7283" s="4" t="str">
        <f t="shared" ref="D7283:D7285" si="452">HYPERLINK("https://12go.asia/en/travel/Kuala-Lumpur-Airport/Puchong-Transfer", "12Go Link")</f>
        <v>12Go Link</v>
      </c>
      <c r="E7283" s="3" t="s">
        <v>3196</v>
      </c>
      <c r="K7283" s="5"/>
    </row>
    <row r="7284">
      <c r="A7284" s="3" t="s">
        <v>7219</v>
      </c>
      <c r="B7284" s="3" t="s">
        <v>7435</v>
      </c>
      <c r="C7284" s="3" t="s">
        <v>7451</v>
      </c>
      <c r="D7284" s="4" t="str">
        <f t="shared" si="452"/>
        <v>12Go Link</v>
      </c>
      <c r="E7284" s="3" t="s">
        <v>7409</v>
      </c>
      <c r="K7284" s="5"/>
    </row>
    <row r="7285">
      <c r="A7285" s="3" t="s">
        <v>7219</v>
      </c>
      <c r="B7285" s="3" t="s">
        <v>7435</v>
      </c>
      <c r="C7285" s="3" t="s">
        <v>7451</v>
      </c>
      <c r="D7285" s="4" t="str">
        <f t="shared" si="452"/>
        <v>12Go Link</v>
      </c>
      <c r="E7285" s="3" t="s">
        <v>228</v>
      </c>
      <c r="K7285" s="5"/>
    </row>
    <row r="7286">
      <c r="A7286" s="3" t="s">
        <v>7219</v>
      </c>
      <c r="B7286" s="3" t="s">
        <v>7435</v>
      </c>
      <c r="C7286" s="3" t="s">
        <v>7452</v>
      </c>
      <c r="D7286" s="4" t="str">
        <f t="shared" ref="D7286:D7288" si="453">HYPERLINK("https://12go.asia/en/travel/Kuala-Lumpur-Airport/Puncak-Alam-Transfer", "12Go Link")</f>
        <v>12Go Link</v>
      </c>
      <c r="E7286" s="3" t="s">
        <v>3196</v>
      </c>
      <c r="K7286" s="5"/>
    </row>
    <row r="7287">
      <c r="A7287" s="3" t="s">
        <v>7219</v>
      </c>
      <c r="B7287" s="3" t="s">
        <v>7435</v>
      </c>
      <c r="C7287" s="3" t="s">
        <v>7452</v>
      </c>
      <c r="D7287" s="4" t="str">
        <f t="shared" si="453"/>
        <v>12Go Link</v>
      </c>
      <c r="E7287" s="3" t="s">
        <v>7409</v>
      </c>
      <c r="K7287" s="5"/>
    </row>
    <row r="7288">
      <c r="A7288" s="3" t="s">
        <v>7219</v>
      </c>
      <c r="B7288" s="3" t="s">
        <v>7435</v>
      </c>
      <c r="C7288" s="3" t="s">
        <v>7452</v>
      </c>
      <c r="D7288" s="4" t="str">
        <f t="shared" si="453"/>
        <v>12Go Link</v>
      </c>
      <c r="E7288" s="3" t="s">
        <v>228</v>
      </c>
      <c r="K7288" s="5"/>
    </row>
    <row r="7289">
      <c r="A7289" s="3" t="s">
        <v>7219</v>
      </c>
      <c r="B7289" s="3" t="s">
        <v>7435</v>
      </c>
      <c r="C7289" s="3" t="s">
        <v>7453</v>
      </c>
      <c r="D7289" s="4" t="str">
        <f t="shared" ref="D7289:D7291" si="454">HYPERLINK("https://12go.asia/en/travel/Kuala-Lumpur-Airport/Selayang-Transfer", "12Go Link")</f>
        <v>12Go Link</v>
      </c>
      <c r="E7289" s="3" t="s">
        <v>3196</v>
      </c>
      <c r="K7289" s="5"/>
    </row>
    <row r="7290">
      <c r="A7290" s="3" t="s">
        <v>7219</v>
      </c>
      <c r="B7290" s="3" t="s">
        <v>7435</v>
      </c>
      <c r="C7290" s="3" t="s">
        <v>7453</v>
      </c>
      <c r="D7290" s="4" t="str">
        <f t="shared" si="454"/>
        <v>12Go Link</v>
      </c>
      <c r="E7290" s="3" t="s">
        <v>7409</v>
      </c>
      <c r="K7290" s="5"/>
    </row>
    <row r="7291">
      <c r="A7291" s="3" t="s">
        <v>7219</v>
      </c>
      <c r="B7291" s="3" t="s">
        <v>7435</v>
      </c>
      <c r="C7291" s="3" t="s">
        <v>7453</v>
      </c>
      <c r="D7291" s="4" t="str">
        <f t="shared" si="454"/>
        <v>12Go Link</v>
      </c>
      <c r="E7291" s="3" t="s">
        <v>228</v>
      </c>
      <c r="K7291" s="5"/>
    </row>
    <row r="7292">
      <c r="A7292" s="3" t="s">
        <v>7219</v>
      </c>
      <c r="B7292" s="3" t="s">
        <v>7435</v>
      </c>
      <c r="C7292" s="3" t="s">
        <v>7454</v>
      </c>
      <c r="D7292" s="4" t="str">
        <f t="shared" ref="D7292:D7294" si="455">HYPERLINK("https://12go.asia/en/travel/Kuala-Lumpur-Airport/Semenyih-Transfer", "12Go Link")</f>
        <v>12Go Link</v>
      </c>
      <c r="E7292" s="3" t="s">
        <v>3196</v>
      </c>
      <c r="K7292" s="5"/>
    </row>
    <row r="7293">
      <c r="A7293" s="3" t="s">
        <v>7219</v>
      </c>
      <c r="B7293" s="3" t="s">
        <v>7435</v>
      </c>
      <c r="C7293" s="3" t="s">
        <v>7454</v>
      </c>
      <c r="D7293" s="4" t="str">
        <f t="shared" si="455"/>
        <v>12Go Link</v>
      </c>
      <c r="E7293" s="3" t="s">
        <v>7409</v>
      </c>
      <c r="K7293" s="5"/>
    </row>
    <row r="7294">
      <c r="A7294" s="3" t="s">
        <v>7219</v>
      </c>
      <c r="B7294" s="3" t="s">
        <v>7435</v>
      </c>
      <c r="C7294" s="3" t="s">
        <v>7454</v>
      </c>
      <c r="D7294" s="4" t="str">
        <f t="shared" si="455"/>
        <v>12Go Link</v>
      </c>
      <c r="E7294" s="3" t="s">
        <v>228</v>
      </c>
      <c r="K7294" s="5"/>
    </row>
    <row r="7295">
      <c r="A7295" s="3" t="s">
        <v>7219</v>
      </c>
      <c r="B7295" s="3" t="s">
        <v>7435</v>
      </c>
      <c r="C7295" s="3" t="s">
        <v>7455</v>
      </c>
      <c r="D7295" s="4" t="str">
        <f t="shared" ref="D7295:D7297" si="456">HYPERLINK("https://12go.asia/en/travel/Kuala-Lumpur-Airport/Serdang-Transfer", "12Go Link")</f>
        <v>12Go Link</v>
      </c>
      <c r="E7295" s="3" t="s">
        <v>3196</v>
      </c>
      <c r="K7295" s="5"/>
    </row>
    <row r="7296">
      <c r="A7296" s="3" t="s">
        <v>7219</v>
      </c>
      <c r="B7296" s="3" t="s">
        <v>7435</v>
      </c>
      <c r="C7296" s="3" t="s">
        <v>7455</v>
      </c>
      <c r="D7296" s="4" t="str">
        <f t="shared" si="456"/>
        <v>12Go Link</v>
      </c>
      <c r="E7296" s="3" t="s">
        <v>7409</v>
      </c>
      <c r="K7296" s="5"/>
    </row>
    <row r="7297">
      <c r="A7297" s="3" t="s">
        <v>7219</v>
      </c>
      <c r="B7297" s="3" t="s">
        <v>7435</v>
      </c>
      <c r="C7297" s="3" t="s">
        <v>7455</v>
      </c>
      <c r="D7297" s="4" t="str">
        <f t="shared" si="456"/>
        <v>12Go Link</v>
      </c>
      <c r="E7297" s="3" t="s">
        <v>228</v>
      </c>
      <c r="K7297" s="5"/>
    </row>
    <row r="7298">
      <c r="A7298" s="3" t="s">
        <v>7219</v>
      </c>
      <c r="B7298" s="3" t="s">
        <v>7435</v>
      </c>
      <c r="C7298" s="3" t="s">
        <v>7456</v>
      </c>
      <c r="D7298" s="4" t="str">
        <f t="shared" ref="D7298:D7300" si="457">HYPERLINK("https://12go.asia/en/travel/Kuala-Lumpur-Airport/Setia-Alam-Transfer", "12Go Link")</f>
        <v>12Go Link</v>
      </c>
      <c r="E7298" s="3" t="s">
        <v>3196</v>
      </c>
      <c r="K7298" s="5"/>
    </row>
    <row r="7299">
      <c r="A7299" s="3" t="s">
        <v>7219</v>
      </c>
      <c r="B7299" s="3" t="s">
        <v>7435</v>
      </c>
      <c r="C7299" s="3" t="s">
        <v>7456</v>
      </c>
      <c r="D7299" s="4" t="str">
        <f t="shared" si="457"/>
        <v>12Go Link</v>
      </c>
      <c r="E7299" s="3" t="s">
        <v>7409</v>
      </c>
      <c r="K7299" s="5"/>
    </row>
    <row r="7300">
      <c r="A7300" s="3" t="s">
        <v>7219</v>
      </c>
      <c r="B7300" s="3" t="s">
        <v>7435</v>
      </c>
      <c r="C7300" s="3" t="s">
        <v>7456</v>
      </c>
      <c r="D7300" s="4" t="str">
        <f t="shared" si="457"/>
        <v>12Go Link</v>
      </c>
      <c r="E7300" s="3" t="s">
        <v>228</v>
      </c>
      <c r="K7300" s="5"/>
    </row>
    <row r="7301">
      <c r="A7301" s="3" t="s">
        <v>7219</v>
      </c>
      <c r="B7301" s="3" t="s">
        <v>7435</v>
      </c>
      <c r="C7301" s="3" t="s">
        <v>7457</v>
      </c>
      <c r="D7301" s="4" t="str">
        <f t="shared" ref="D7301:D7303" si="458">HYPERLINK("https://12go.asia/en/travel/Kuala-Lumpur-Airport/Sungai-Buloh-Transfer", "12Go Link")</f>
        <v>12Go Link</v>
      </c>
      <c r="E7301" s="3" t="s">
        <v>3196</v>
      </c>
      <c r="K7301" s="5"/>
    </row>
    <row r="7302">
      <c r="A7302" s="3" t="s">
        <v>7219</v>
      </c>
      <c r="B7302" s="3" t="s">
        <v>7435</v>
      </c>
      <c r="C7302" s="3" t="s">
        <v>7457</v>
      </c>
      <c r="D7302" s="4" t="str">
        <f t="shared" si="458"/>
        <v>12Go Link</v>
      </c>
      <c r="E7302" s="3" t="s">
        <v>7409</v>
      </c>
      <c r="K7302" s="5"/>
    </row>
    <row r="7303">
      <c r="A7303" s="3" t="s">
        <v>7219</v>
      </c>
      <c r="B7303" s="3" t="s">
        <v>7435</v>
      </c>
      <c r="C7303" s="3" t="s">
        <v>7457</v>
      </c>
      <c r="D7303" s="4" t="str">
        <f t="shared" si="458"/>
        <v>12Go Link</v>
      </c>
      <c r="E7303" s="3" t="s">
        <v>228</v>
      </c>
      <c r="K7303" s="5"/>
    </row>
    <row r="7304">
      <c r="A7304" s="3" t="s">
        <v>7219</v>
      </c>
      <c r="B7304" s="3" t="s">
        <v>7435</v>
      </c>
      <c r="C7304" s="3" t="s">
        <v>7458</v>
      </c>
      <c r="D7304" s="4" t="str">
        <f t="shared" ref="D7304:D7306" si="459">HYPERLINK("https://12go.asia/en/travel/Kuala-Lumpur-Airport/Taman-Melawati-Transfer", "12Go Link")</f>
        <v>12Go Link</v>
      </c>
      <c r="E7304" s="3" t="s">
        <v>3196</v>
      </c>
      <c r="K7304" s="5"/>
    </row>
    <row r="7305">
      <c r="A7305" s="3" t="s">
        <v>7219</v>
      </c>
      <c r="B7305" s="3" t="s">
        <v>7435</v>
      </c>
      <c r="C7305" s="3" t="s">
        <v>7458</v>
      </c>
      <c r="D7305" s="4" t="str">
        <f t="shared" si="459"/>
        <v>12Go Link</v>
      </c>
      <c r="E7305" s="3" t="s">
        <v>7409</v>
      </c>
      <c r="K7305" s="5"/>
    </row>
    <row r="7306">
      <c r="A7306" s="3" t="s">
        <v>7219</v>
      </c>
      <c r="B7306" s="3" t="s">
        <v>7435</v>
      </c>
      <c r="C7306" s="3" t="s">
        <v>7458</v>
      </c>
      <c r="D7306" s="4" t="str">
        <f t="shared" si="459"/>
        <v>12Go Link</v>
      </c>
      <c r="E7306" s="3" t="s">
        <v>228</v>
      </c>
      <c r="K7306" s="5"/>
    </row>
    <row r="7307">
      <c r="A7307" s="3" t="s">
        <v>7219</v>
      </c>
      <c r="B7307" s="3" t="s">
        <v>7435</v>
      </c>
      <c r="C7307" s="3" t="s">
        <v>7459</v>
      </c>
      <c r="D7307" s="4" t="str">
        <f t="shared" ref="D7307:D7309" si="460">HYPERLINK("https://12go.asia/en/travel/Kuala-Lumpur-Airport/Tropicana-Transfer", "12Go Link")</f>
        <v>12Go Link</v>
      </c>
      <c r="E7307" s="3" t="s">
        <v>3196</v>
      </c>
      <c r="K7307" s="5"/>
    </row>
    <row r="7308">
      <c r="A7308" s="3" t="s">
        <v>7219</v>
      </c>
      <c r="B7308" s="3" t="s">
        <v>7435</v>
      </c>
      <c r="C7308" s="3" t="s">
        <v>7459</v>
      </c>
      <c r="D7308" s="4" t="str">
        <f t="shared" si="460"/>
        <v>12Go Link</v>
      </c>
      <c r="E7308" s="3" t="s">
        <v>7409</v>
      </c>
      <c r="K7308" s="5"/>
    </row>
    <row r="7309">
      <c r="A7309" s="3" t="s">
        <v>7219</v>
      </c>
      <c r="B7309" s="3" t="s">
        <v>7435</v>
      </c>
      <c r="C7309" s="3" t="s">
        <v>7459</v>
      </c>
      <c r="D7309" s="4" t="str">
        <f t="shared" si="460"/>
        <v>12Go Link</v>
      </c>
      <c r="E7309" s="3" t="s">
        <v>228</v>
      </c>
      <c r="K7309" s="5"/>
    </row>
    <row r="7310">
      <c r="A7310" s="3" t="s">
        <v>7219</v>
      </c>
      <c r="B7310" s="3" t="s">
        <v>7435</v>
      </c>
      <c r="C7310" s="3" t="s">
        <v>7460</v>
      </c>
      <c r="D7310" s="4" t="str">
        <f t="shared" ref="D7310:D7312" si="461">HYPERLINK("https://12go.asia/en/travel/Kuala-Lumpur-Airport/UEP-Subang-Jaya-Transfer", "12Go Link")</f>
        <v>12Go Link</v>
      </c>
      <c r="E7310" s="3" t="s">
        <v>3196</v>
      </c>
      <c r="K7310" s="5"/>
    </row>
    <row r="7311">
      <c r="A7311" s="3" t="s">
        <v>7219</v>
      </c>
      <c r="B7311" s="3" t="s">
        <v>7435</v>
      </c>
      <c r="C7311" s="3" t="s">
        <v>7460</v>
      </c>
      <c r="D7311" s="4" t="str">
        <f t="shared" si="461"/>
        <v>12Go Link</v>
      </c>
      <c r="E7311" s="3" t="s">
        <v>7409</v>
      </c>
      <c r="K7311" s="5"/>
    </row>
    <row r="7312">
      <c r="A7312" s="3" t="s">
        <v>7219</v>
      </c>
      <c r="B7312" s="3" t="s">
        <v>7435</v>
      </c>
      <c r="C7312" s="3" t="s">
        <v>7460</v>
      </c>
      <c r="D7312" s="4" t="str">
        <f t="shared" si="461"/>
        <v>12Go Link</v>
      </c>
      <c r="E7312" s="3" t="s">
        <v>228</v>
      </c>
      <c r="K7312" s="5"/>
    </row>
    <row r="7313">
      <c r="A7313" s="3" t="s">
        <v>7219</v>
      </c>
      <c r="B7313" s="3" t="s">
        <v>7461</v>
      </c>
      <c r="C7313" s="3" t="s">
        <v>7462</v>
      </c>
      <c r="D7313" s="4" t="str">
        <f t="shared" ref="D7313:D7315" si="462">HYPERLINK("https://12go.asia/en/travel/Kuala-Lumpur-Airport/Shah-Alam-Hotel-Transfer", "12Go Link")</f>
        <v>12Go Link</v>
      </c>
      <c r="E7313" s="3" t="s">
        <v>3196</v>
      </c>
      <c r="K7313" s="5"/>
    </row>
    <row r="7314">
      <c r="A7314" s="3" t="s">
        <v>7219</v>
      </c>
      <c r="B7314" s="3" t="s">
        <v>7461</v>
      </c>
      <c r="C7314" s="3" t="s">
        <v>7462</v>
      </c>
      <c r="D7314" s="4" t="str">
        <f t="shared" si="462"/>
        <v>12Go Link</v>
      </c>
      <c r="E7314" s="3" t="s">
        <v>7409</v>
      </c>
      <c r="K7314" s="5"/>
    </row>
    <row r="7315">
      <c r="A7315" s="3" t="s">
        <v>7219</v>
      </c>
      <c r="B7315" s="3" t="s">
        <v>7461</v>
      </c>
      <c r="C7315" s="3" t="s">
        <v>7462</v>
      </c>
      <c r="D7315" s="4" t="str">
        <f t="shared" si="462"/>
        <v>12Go Link</v>
      </c>
      <c r="E7315" s="3" t="s">
        <v>228</v>
      </c>
      <c r="K7315" s="5"/>
    </row>
    <row r="7316">
      <c r="A7316" s="3" t="s">
        <v>3571</v>
      </c>
      <c r="B7316" s="3" t="s">
        <v>7463</v>
      </c>
      <c r="C7316" s="3" t="s">
        <v>7464</v>
      </c>
      <c r="D7316" s="4" t="str">
        <f>HYPERLINK("https://12go.asia/en/travel/kuala-lumpur-sentral/karimunbesar", "12Go Link")</f>
        <v>12Go Link</v>
      </c>
      <c r="E7316" s="3" t="s">
        <v>3568</v>
      </c>
      <c r="K7316" s="5"/>
    </row>
    <row r="7317">
      <c r="A7317" s="3" t="s">
        <v>3571</v>
      </c>
      <c r="B7317" s="3" t="s">
        <v>7465</v>
      </c>
      <c r="C7317" s="3" t="s">
        <v>7466</v>
      </c>
      <c r="D7317" s="4" t="str">
        <f>HYPERLINK("https://12go.asia/en/travel/kuala-lumpur-sentral/skudai", "12Go Link")</f>
        <v>12Go Link</v>
      </c>
      <c r="E7317" s="3" t="s">
        <v>3568</v>
      </c>
      <c r="K7317" s="5"/>
    </row>
    <row r="7318">
      <c r="A7318" s="3" t="s">
        <v>6823</v>
      </c>
      <c r="B7318" s="3" t="s">
        <v>6823</v>
      </c>
      <c r="C7318" s="3" t="s">
        <v>7467</v>
      </c>
      <c r="D7318" s="4" t="str">
        <f t="shared" ref="D7318:D7321" si="463">HYPERLINK("https://12go.asia/en/travel/Penang-beach/Penang-International-Airport", "12Go Link")</f>
        <v>12Go Link</v>
      </c>
      <c r="E7318" s="3" t="s">
        <v>7468</v>
      </c>
      <c r="K7318" s="5"/>
    </row>
    <row r="7319">
      <c r="A7319" s="3" t="s">
        <v>6823</v>
      </c>
      <c r="B7319" s="3" t="s">
        <v>6823</v>
      </c>
      <c r="C7319" s="3" t="s">
        <v>7467</v>
      </c>
      <c r="D7319" s="4" t="str">
        <f t="shared" si="463"/>
        <v>12Go Link</v>
      </c>
      <c r="E7319" s="3" t="s">
        <v>7469</v>
      </c>
      <c r="K7319" s="5"/>
    </row>
    <row r="7320">
      <c r="A7320" s="3" t="s">
        <v>6823</v>
      </c>
      <c r="B7320" s="3" t="s">
        <v>6823</v>
      </c>
      <c r="C7320" s="3" t="s">
        <v>7467</v>
      </c>
      <c r="D7320" s="4" t="str">
        <f t="shared" si="463"/>
        <v>12Go Link</v>
      </c>
      <c r="E7320" s="3" t="s">
        <v>7470</v>
      </c>
      <c r="K7320" s="5"/>
    </row>
    <row r="7321">
      <c r="A7321" s="3" t="s">
        <v>6823</v>
      </c>
      <c r="B7321" s="3" t="s">
        <v>6823</v>
      </c>
      <c r="C7321" s="3" t="s">
        <v>7467</v>
      </c>
      <c r="D7321" s="4" t="str">
        <f t="shared" si="463"/>
        <v>12Go Link</v>
      </c>
      <c r="E7321" s="3" t="s">
        <v>7471</v>
      </c>
      <c r="K7321" s="5"/>
    </row>
    <row r="7322">
      <c r="A7322" s="3" t="s">
        <v>6823</v>
      </c>
      <c r="B7322" s="3" t="s">
        <v>6823</v>
      </c>
      <c r="C7322" s="3" t="s">
        <v>7472</v>
      </c>
      <c r="D7322" s="4" t="str">
        <f t="shared" ref="D7322:D7325" si="464">HYPERLINK("https://12go.asia/en/travel/Penang-Hotel-Transfer/Penang-International-Airport", "12Go Link")</f>
        <v>12Go Link</v>
      </c>
      <c r="E7322" s="3" t="s">
        <v>7468</v>
      </c>
      <c r="K7322" s="5"/>
    </row>
    <row r="7323">
      <c r="A7323" s="3" t="s">
        <v>6823</v>
      </c>
      <c r="B7323" s="3" t="s">
        <v>6823</v>
      </c>
      <c r="C7323" s="3" t="s">
        <v>7472</v>
      </c>
      <c r="D7323" s="4" t="str">
        <f t="shared" si="464"/>
        <v>12Go Link</v>
      </c>
      <c r="E7323" s="3" t="s">
        <v>7469</v>
      </c>
      <c r="K7323" s="5"/>
    </row>
    <row r="7324">
      <c r="A7324" s="3" t="s">
        <v>6823</v>
      </c>
      <c r="B7324" s="3" t="s">
        <v>6823</v>
      </c>
      <c r="C7324" s="3" t="s">
        <v>7472</v>
      </c>
      <c r="D7324" s="4" t="str">
        <f t="shared" si="464"/>
        <v>12Go Link</v>
      </c>
      <c r="E7324" s="3" t="s">
        <v>7470</v>
      </c>
      <c r="K7324" s="5"/>
    </row>
    <row r="7325">
      <c r="A7325" s="3" t="s">
        <v>6823</v>
      </c>
      <c r="B7325" s="3" t="s">
        <v>6823</v>
      </c>
      <c r="C7325" s="3" t="s">
        <v>7472</v>
      </c>
      <c r="D7325" s="4" t="str">
        <f t="shared" si="464"/>
        <v>12Go Link</v>
      </c>
      <c r="E7325" s="3" t="s">
        <v>7471</v>
      </c>
      <c r="K7325" s="5"/>
    </row>
    <row r="7326">
      <c r="A7326" s="3" t="s">
        <v>6823</v>
      </c>
      <c r="B7326" s="3" t="s">
        <v>6823</v>
      </c>
      <c r="C7326" s="3" t="s">
        <v>7473</v>
      </c>
      <c r="D7326" s="4" t="str">
        <f t="shared" ref="D7326:D7329" si="465">HYPERLINK("https://12go.asia/en/travel/Penang-International-Airport/Penang-beach", "12Go Link")</f>
        <v>12Go Link</v>
      </c>
      <c r="E7326" s="3" t="s">
        <v>7468</v>
      </c>
      <c r="K7326" s="5"/>
    </row>
    <row r="7327">
      <c r="A7327" s="3" t="s">
        <v>6823</v>
      </c>
      <c r="B7327" s="3" t="s">
        <v>6823</v>
      </c>
      <c r="C7327" s="3" t="s">
        <v>7473</v>
      </c>
      <c r="D7327" s="4" t="str">
        <f t="shared" si="465"/>
        <v>12Go Link</v>
      </c>
      <c r="E7327" s="3" t="s">
        <v>7469</v>
      </c>
      <c r="K7327" s="5"/>
    </row>
    <row r="7328">
      <c r="A7328" s="3" t="s">
        <v>6823</v>
      </c>
      <c r="B7328" s="3" t="s">
        <v>6823</v>
      </c>
      <c r="C7328" s="3" t="s">
        <v>7473</v>
      </c>
      <c r="D7328" s="4" t="str">
        <f t="shared" si="465"/>
        <v>12Go Link</v>
      </c>
      <c r="E7328" s="3" t="s">
        <v>7470</v>
      </c>
      <c r="K7328" s="5"/>
    </row>
    <row r="7329">
      <c r="A7329" s="3" t="s">
        <v>6823</v>
      </c>
      <c r="B7329" s="3" t="s">
        <v>6823</v>
      </c>
      <c r="C7329" s="3" t="s">
        <v>7473</v>
      </c>
      <c r="D7329" s="4" t="str">
        <f t="shared" si="465"/>
        <v>12Go Link</v>
      </c>
      <c r="E7329" s="3" t="s">
        <v>7471</v>
      </c>
      <c r="K7329" s="5"/>
    </row>
    <row r="7330">
      <c r="A7330" s="3" t="s">
        <v>6823</v>
      </c>
      <c r="B7330" s="3" t="s">
        <v>6823</v>
      </c>
      <c r="C7330" s="3" t="s">
        <v>7474</v>
      </c>
      <c r="D7330" s="4" t="str">
        <f t="shared" ref="D7330:D7333" si="466">HYPERLINK("https://12go.asia/en/travel/Penang-International-Airport/Penang-Hotel-Transfer", "12Go Link")</f>
        <v>12Go Link</v>
      </c>
      <c r="E7330" s="3" t="s">
        <v>7468</v>
      </c>
      <c r="K7330" s="5"/>
    </row>
    <row r="7331">
      <c r="A7331" s="3" t="s">
        <v>6823</v>
      </c>
      <c r="B7331" s="3" t="s">
        <v>6823</v>
      </c>
      <c r="C7331" s="3" t="s">
        <v>7474</v>
      </c>
      <c r="D7331" s="4" t="str">
        <f t="shared" si="466"/>
        <v>12Go Link</v>
      </c>
      <c r="E7331" s="3" t="s">
        <v>7469</v>
      </c>
      <c r="K7331" s="5"/>
    </row>
    <row r="7332">
      <c r="A7332" s="3" t="s">
        <v>6823</v>
      </c>
      <c r="B7332" s="3" t="s">
        <v>6823</v>
      </c>
      <c r="C7332" s="3" t="s">
        <v>7474</v>
      </c>
      <c r="D7332" s="4" t="str">
        <f t="shared" si="466"/>
        <v>12Go Link</v>
      </c>
      <c r="E7332" s="3" t="s">
        <v>7470</v>
      </c>
      <c r="K7332" s="5"/>
    </row>
    <row r="7333">
      <c r="A7333" s="3" t="s">
        <v>6823</v>
      </c>
      <c r="B7333" s="3" t="s">
        <v>6823</v>
      </c>
      <c r="C7333" s="3" t="s">
        <v>7474</v>
      </c>
      <c r="D7333" s="4" t="str">
        <f t="shared" si="466"/>
        <v>12Go Link</v>
      </c>
      <c r="E7333" s="3" t="s">
        <v>7471</v>
      </c>
      <c r="K7333" s="5"/>
    </row>
    <row r="7334">
      <c r="A7334" s="3" t="s">
        <v>6823</v>
      </c>
      <c r="B7334" s="3" t="s">
        <v>7475</v>
      </c>
      <c r="C7334" s="3" t="s">
        <v>7476</v>
      </c>
      <c r="D7334" s="4" t="str">
        <f t="shared" ref="D7334:D7337" si="467">HYPERLINK("https://12go.asia/en/travel/Penang-Hotel-Transfer/Hat-Yai-Transfer", "12Go Link")</f>
        <v>12Go Link</v>
      </c>
      <c r="E7334" s="3" t="s">
        <v>7468</v>
      </c>
      <c r="K7334" s="5"/>
    </row>
    <row r="7335">
      <c r="A7335" s="3" t="s">
        <v>6823</v>
      </c>
      <c r="B7335" s="3" t="s">
        <v>7475</v>
      </c>
      <c r="C7335" s="3" t="s">
        <v>7476</v>
      </c>
      <c r="D7335" s="4" t="str">
        <f t="shared" si="467"/>
        <v>12Go Link</v>
      </c>
      <c r="E7335" s="3" t="s">
        <v>7469</v>
      </c>
      <c r="K7335" s="5"/>
    </row>
    <row r="7336">
      <c r="A7336" s="3" t="s">
        <v>6823</v>
      </c>
      <c r="B7336" s="3" t="s">
        <v>7475</v>
      </c>
      <c r="C7336" s="3" t="s">
        <v>7476</v>
      </c>
      <c r="D7336" s="4" t="str">
        <f t="shared" si="467"/>
        <v>12Go Link</v>
      </c>
      <c r="E7336" s="3" t="s">
        <v>7470</v>
      </c>
      <c r="K7336" s="5"/>
    </row>
    <row r="7337">
      <c r="A7337" s="3" t="s">
        <v>6823</v>
      </c>
      <c r="B7337" s="3" t="s">
        <v>7475</v>
      </c>
      <c r="C7337" s="3" t="s">
        <v>7476</v>
      </c>
      <c r="D7337" s="4" t="str">
        <f t="shared" si="467"/>
        <v>12Go Link</v>
      </c>
      <c r="E7337" s="3" t="s">
        <v>7471</v>
      </c>
      <c r="K7337" s="5"/>
    </row>
    <row r="7338">
      <c r="A7338" s="3" t="s">
        <v>6823</v>
      </c>
      <c r="B7338" s="3" t="s">
        <v>7477</v>
      </c>
      <c r="C7338" s="3" t="s">
        <v>7478</v>
      </c>
      <c r="D7338" s="4" t="str">
        <f t="shared" ref="D7338:D7341" si="468">HYPERLINK("https://12go.asia/en/travel/Penang-Hotel-Transfer/Padang-Besar-Immigration-Thailand-Side", "12Go Link")</f>
        <v>12Go Link</v>
      </c>
      <c r="E7338" s="3" t="s">
        <v>7468</v>
      </c>
      <c r="K7338" s="5"/>
    </row>
    <row r="7339">
      <c r="A7339" s="3" t="s">
        <v>6823</v>
      </c>
      <c r="B7339" s="3" t="s">
        <v>7477</v>
      </c>
      <c r="C7339" s="3" t="s">
        <v>7478</v>
      </c>
      <c r="D7339" s="4" t="str">
        <f t="shared" si="468"/>
        <v>12Go Link</v>
      </c>
      <c r="E7339" s="3" t="s">
        <v>7469</v>
      </c>
      <c r="K7339" s="5"/>
    </row>
    <row r="7340">
      <c r="A7340" s="3" t="s">
        <v>6823</v>
      </c>
      <c r="B7340" s="3" t="s">
        <v>7477</v>
      </c>
      <c r="C7340" s="3" t="s">
        <v>7478</v>
      </c>
      <c r="D7340" s="4" t="str">
        <f t="shared" si="468"/>
        <v>12Go Link</v>
      </c>
      <c r="E7340" s="3" t="s">
        <v>7470</v>
      </c>
      <c r="K7340" s="5"/>
    </row>
    <row r="7341">
      <c r="A7341" s="3" t="s">
        <v>6823</v>
      </c>
      <c r="B7341" s="3" t="s">
        <v>7477</v>
      </c>
      <c r="C7341" s="3" t="s">
        <v>7478</v>
      </c>
      <c r="D7341" s="4" t="str">
        <f t="shared" si="468"/>
        <v>12Go Link</v>
      </c>
      <c r="E7341" s="3" t="s">
        <v>7471</v>
      </c>
      <c r="K7341" s="5"/>
    </row>
    <row r="7342">
      <c r="A7342" s="3" t="s">
        <v>7479</v>
      </c>
      <c r="B7342" s="3" t="s">
        <v>7399</v>
      </c>
      <c r="C7342" s="3" t="s">
        <v>7480</v>
      </c>
      <c r="D7342" s="4" t="str">
        <f>HYPERLINK("https://12go.asia/en/travel/Long-Beach-Jetty/Merang-Jetty-AL", "12Go Link")</f>
        <v>12Go Link</v>
      </c>
      <c r="E7342" s="3" t="s">
        <v>6656</v>
      </c>
      <c r="K7342" s="5"/>
    </row>
    <row r="7343">
      <c r="A7343" s="3" t="s">
        <v>7479</v>
      </c>
      <c r="B7343" s="3" t="s">
        <v>7399</v>
      </c>
      <c r="C7343" s="3" t="s">
        <v>7481</v>
      </c>
      <c r="D7343" s="4" t="str">
        <f>HYPERLINK("https://12go.asia/en/travel/Long-Beach-Jetty/Merang-Jetty-BA", "12Go Link")</f>
        <v>12Go Link</v>
      </c>
      <c r="E7343" s="3" t="s">
        <v>6656</v>
      </c>
      <c r="K7343" s="5"/>
    </row>
    <row r="7344">
      <c r="A7344" s="3" t="s">
        <v>7399</v>
      </c>
      <c r="B7344" s="3" t="s">
        <v>7398</v>
      </c>
      <c r="C7344" s="3" t="s">
        <v>7482</v>
      </c>
      <c r="D7344" s="4" t="str">
        <f>HYPERLINK("https://12go.asia/en/travel/Merang-Jetty/Kota-Bharu-Airport", "12Go Link")</f>
        <v>12Go Link</v>
      </c>
      <c r="E7344" s="3" t="s">
        <v>3482</v>
      </c>
      <c r="K7344" s="5"/>
    </row>
    <row r="7345">
      <c r="A7345" s="3" t="s">
        <v>7399</v>
      </c>
      <c r="B7345" s="3" t="s">
        <v>7479</v>
      </c>
      <c r="C7345" s="3" t="s">
        <v>7483</v>
      </c>
      <c r="D7345" s="4" t="str">
        <f>HYPERLINK("https://12go.asia/en/travel/Merang-Jetty-AL/Long-Beach-Jetty", "12Go Link")</f>
        <v>12Go Link</v>
      </c>
      <c r="E7345" s="3" t="s">
        <v>6656</v>
      </c>
      <c r="K7345" s="5"/>
    </row>
    <row r="7346">
      <c r="A7346" s="3" t="s">
        <v>7399</v>
      </c>
      <c r="B7346" s="3" t="s">
        <v>7479</v>
      </c>
      <c r="C7346" s="3" t="s">
        <v>7484</v>
      </c>
      <c r="D7346" s="4" t="str">
        <f>HYPERLINK("https://12go.asia/en/travel/Merang-Jetty-AL/Redang-Island-Jetty", "12Go Link")</f>
        <v>12Go Link</v>
      </c>
      <c r="E7346" s="3" t="s">
        <v>6656</v>
      </c>
      <c r="K7346" s="5"/>
    </row>
    <row r="7347">
      <c r="A7347" s="3" t="s">
        <v>7399</v>
      </c>
      <c r="B7347" s="3" t="s">
        <v>7479</v>
      </c>
      <c r="C7347" s="3" t="s">
        <v>7485</v>
      </c>
      <c r="D7347" s="4" t="str">
        <f>HYPERLINK("https://12go.asia/en/travel/Merang-Jetty-BA/Long-Beach-Jetty", "12Go Link")</f>
        <v>12Go Link</v>
      </c>
      <c r="E7347" s="3" t="s">
        <v>6656</v>
      </c>
      <c r="K7347" s="5"/>
    </row>
    <row r="7348">
      <c r="A7348" s="3" t="s">
        <v>7399</v>
      </c>
      <c r="B7348" s="3" t="s">
        <v>7479</v>
      </c>
      <c r="C7348" s="3" t="s">
        <v>7486</v>
      </c>
      <c r="D7348" s="4" t="str">
        <f>HYPERLINK("https://12go.asia/en/travel/Merang-Jetty-BA/Redang-Island-Jetty", "12Go Link")</f>
        <v>12Go Link</v>
      </c>
      <c r="E7348" s="3" t="s">
        <v>6656</v>
      </c>
      <c r="K7348" s="5"/>
    </row>
    <row r="7349">
      <c r="A7349" s="3" t="s">
        <v>7399</v>
      </c>
      <c r="B7349" s="3" t="s">
        <v>7399</v>
      </c>
      <c r="C7349" s="3" t="s">
        <v>7487</v>
      </c>
      <c r="D7349" s="4" t="str">
        <f>HYPERLINK("https://12go.asia/en/travel/Kuala-Besut-Jetty/Merang-Jetty", "12Go Link")</f>
        <v>12Go Link</v>
      </c>
      <c r="E7349" s="3" t="s">
        <v>3482</v>
      </c>
      <c r="K7349" s="5"/>
    </row>
    <row r="7350">
      <c r="A7350" s="3" t="s">
        <v>7399</v>
      </c>
      <c r="B7350" s="3" t="s">
        <v>7399</v>
      </c>
      <c r="C7350" s="3" t="s">
        <v>7488</v>
      </c>
      <c r="D7350" s="4" t="str">
        <f>HYPERLINK("https://12go.asia/en/travel/Kuala-Terengganu-Airport/Merang-Jetty", "12Go Link")</f>
        <v>12Go Link</v>
      </c>
      <c r="E7350" s="3" t="s">
        <v>3482</v>
      </c>
      <c r="K7350" s="5"/>
    </row>
    <row r="7351">
      <c r="A7351" s="3" t="s">
        <v>7399</v>
      </c>
      <c r="B7351" s="3" t="s">
        <v>7399</v>
      </c>
      <c r="C7351" s="3" t="s">
        <v>7489</v>
      </c>
      <c r="D7351" s="4" t="str">
        <f>HYPERLINK("https://12go.asia/en/travel/Merang-Jetty/Kuala-Besut-Jetty", "12Go Link")</f>
        <v>12Go Link</v>
      </c>
      <c r="E7351" s="3" t="s">
        <v>3482</v>
      </c>
      <c r="K7351" s="5"/>
    </row>
    <row r="7352">
      <c r="A7352" s="3" t="s">
        <v>7399</v>
      </c>
      <c r="B7352" s="3" t="s">
        <v>7399</v>
      </c>
      <c r="C7352" s="3" t="s">
        <v>7490</v>
      </c>
      <c r="D7352" s="4" t="str">
        <f>HYPERLINK("https://12go.asia/en/travel/Merang-Jetty/Kuala-Terengganu-Airport", "12Go Link")</f>
        <v>12Go Link</v>
      </c>
      <c r="E7352" s="3" t="s">
        <v>3482</v>
      </c>
      <c r="K7352" s="5"/>
    </row>
    <row r="7353">
      <c r="A7353" s="3" t="s">
        <v>7491</v>
      </c>
      <c r="B7353" s="3" t="s">
        <v>7492</v>
      </c>
      <c r="C7353" s="3" t="s">
        <v>7493</v>
      </c>
      <c r="D7353" s="4" t="str">
        <f>HYPERLINK("https://12go.asia/en/travel/male/karon", "12Go Link")</f>
        <v>12Go Link</v>
      </c>
      <c r="E7353" s="3" t="s">
        <v>3568</v>
      </c>
      <c r="K7353" s="5"/>
    </row>
    <row r="7354">
      <c r="A7354" s="3" t="s">
        <v>7494</v>
      </c>
      <c r="B7354" s="3" t="s">
        <v>7495</v>
      </c>
      <c r="C7354" s="3" t="s">
        <v>7496</v>
      </c>
      <c r="D7354" s="4" t="str">
        <f>HYPERLINK("https://12go.asia/en/travel/cd-obregon/culiacan-bus-station", "12Go Link")</f>
        <v>12Go Link</v>
      </c>
      <c r="E7354" s="3" t="s">
        <v>8</v>
      </c>
      <c r="K7354" s="5"/>
    </row>
    <row r="7355">
      <c r="A7355" s="3" t="s">
        <v>7494</v>
      </c>
      <c r="B7355" s="3" t="s">
        <v>7495</v>
      </c>
      <c r="C7355" s="3" t="s">
        <v>7497</v>
      </c>
      <c r="D7355" s="4" t="str">
        <f>HYPERLINK("https://12go.asia/en/travel/ciudad-obregon/culiacan", "12Go Link")</f>
        <v>12Go Link</v>
      </c>
      <c r="E7355" s="3" t="s">
        <v>8</v>
      </c>
      <c r="K7355" s="5"/>
    </row>
    <row r="7356">
      <c r="A7356" s="3" t="s">
        <v>7494</v>
      </c>
      <c r="B7356" s="3" t="s">
        <v>7498</v>
      </c>
      <c r="C7356" s="3" t="s">
        <v>7499</v>
      </c>
      <c r="D7356" s="4" t="str">
        <f>HYPERLINK("https://12go.asia/en/travel/cd-obregon/mazatlan", "12Go Link")</f>
        <v>12Go Link</v>
      </c>
      <c r="E7356" s="3" t="s">
        <v>8</v>
      </c>
      <c r="K7356" s="5"/>
    </row>
    <row r="7357">
      <c r="A7357" s="3" t="s">
        <v>7494</v>
      </c>
      <c r="B7357" s="3" t="s">
        <v>7498</v>
      </c>
      <c r="C7357" s="3" t="s">
        <v>7500</v>
      </c>
      <c r="D7357" s="4" t="str">
        <f>HYPERLINK("https://12go.asia/en/travel/ciudad-obregon/mazatlan", "12Go Link")</f>
        <v>12Go Link</v>
      </c>
      <c r="E7357" s="3" t="s">
        <v>8</v>
      </c>
      <c r="K7357" s="5"/>
    </row>
    <row r="7358">
      <c r="A7358" s="3" t="s">
        <v>7501</v>
      </c>
      <c r="B7358" s="3" t="s">
        <v>7502</v>
      </c>
      <c r="C7358" s="3" t="s">
        <v>7503</v>
      </c>
      <c r="D7358" s="4" t="str">
        <f>HYPERLINK("https://12go.asia/en/travel/empalme/hermosillo", "12Go Link")</f>
        <v>12Go Link</v>
      </c>
      <c r="E7358" s="3" t="s">
        <v>8</v>
      </c>
      <c r="K7358" s="5"/>
    </row>
    <row r="7359">
      <c r="A7359" s="3" t="s">
        <v>7501</v>
      </c>
      <c r="B7359" s="3" t="s">
        <v>7502</v>
      </c>
      <c r="C7359" s="3" t="s">
        <v>7504</v>
      </c>
      <c r="D7359" s="4" t="str">
        <f>HYPERLINK("https://12go.asia/en/travel/empalme/hermosillo-bus-station", "12Go Link")</f>
        <v>12Go Link</v>
      </c>
      <c r="E7359" s="3" t="s">
        <v>8</v>
      </c>
      <c r="K7359" s="5"/>
    </row>
    <row r="7360">
      <c r="A7360" s="3" t="s">
        <v>7505</v>
      </c>
      <c r="B7360" s="3" t="s">
        <v>7506</v>
      </c>
      <c r="C7360" s="3" t="s">
        <v>7507</v>
      </c>
      <c r="D7360" s="4" t="str">
        <f>HYPERLINK("https://12go.asia/en/travel/tepic-tufesa/guamuchil-bus-station", "12Go Link")</f>
        <v>12Go Link</v>
      </c>
      <c r="E7360" s="3" t="s">
        <v>8</v>
      </c>
      <c r="K7360" s="5"/>
    </row>
    <row r="7361">
      <c r="A7361" s="3" t="s">
        <v>7505</v>
      </c>
      <c r="B7361" s="3" t="s">
        <v>7506</v>
      </c>
      <c r="C7361" s="3" t="s">
        <v>7508</v>
      </c>
      <c r="D7361" s="4" t="str">
        <f>HYPERLINK("https://12go.asia/en/travel/tepic/guamuchil", "12Go Link")</f>
        <v>12Go Link</v>
      </c>
      <c r="E7361" s="3" t="s">
        <v>8</v>
      </c>
      <c r="K7361" s="5"/>
    </row>
    <row r="7362">
      <c r="A7362" s="3" t="s">
        <v>7509</v>
      </c>
      <c r="B7362" s="3" t="s">
        <v>7510</v>
      </c>
      <c r="C7362" s="3" t="s">
        <v>7511</v>
      </c>
      <c r="D7362" s="4" t="str">
        <f>HYPERLINK("https://12go.asia/en/travel/tijuana/ontario-california", "12Go Link")</f>
        <v>12Go Link</v>
      </c>
      <c r="E7362" s="3" t="s">
        <v>8</v>
      </c>
      <c r="K7362" s="5"/>
    </row>
    <row r="7363">
      <c r="A7363" s="3" t="s">
        <v>7512</v>
      </c>
      <c r="B7363" s="3" t="s">
        <v>7513</v>
      </c>
      <c r="C7363" s="3" t="s">
        <v>7514</v>
      </c>
      <c r="D7363" s="4" t="str">
        <f t="shared" ref="D7363:D7364" si="469">HYPERLINK("https://12go.asia/en/travel/Agadir-Hotel-Transfer/Mohammed-V-International-Airport", "12Go Link")</f>
        <v>12Go Link</v>
      </c>
      <c r="E7363" s="3" t="s">
        <v>3196</v>
      </c>
      <c r="K7363" s="5"/>
    </row>
    <row r="7364">
      <c r="A7364" s="3" t="s">
        <v>7512</v>
      </c>
      <c r="B7364" s="3" t="s">
        <v>7513</v>
      </c>
      <c r="C7364" s="3" t="s">
        <v>7514</v>
      </c>
      <c r="D7364" s="4" t="str">
        <f t="shared" si="469"/>
        <v>12Go Link</v>
      </c>
      <c r="E7364" s="3" t="s">
        <v>7515</v>
      </c>
      <c r="K7364" s="5"/>
    </row>
    <row r="7365">
      <c r="A7365" s="3" t="s">
        <v>7512</v>
      </c>
      <c r="B7365" s="3" t="s">
        <v>7516</v>
      </c>
      <c r="C7365" s="3" t="s">
        <v>7517</v>
      </c>
      <c r="D7365" s="4" t="str">
        <f t="shared" ref="D7365:D7366" si="470">HYPERLINK("https://12go.asia/en/travel/Agadir-Hotel-Transfer/Rabat-Sale-Airport", "12Go Link")</f>
        <v>12Go Link</v>
      </c>
      <c r="E7365" s="3" t="s">
        <v>3196</v>
      </c>
      <c r="K7365" s="5"/>
    </row>
    <row r="7366">
      <c r="A7366" s="3" t="s">
        <v>7512</v>
      </c>
      <c r="B7366" s="3" t="s">
        <v>7516</v>
      </c>
      <c r="C7366" s="3" t="s">
        <v>7517</v>
      </c>
      <c r="D7366" s="4" t="str">
        <f t="shared" si="470"/>
        <v>12Go Link</v>
      </c>
      <c r="E7366" s="3" t="s">
        <v>7515</v>
      </c>
      <c r="K7366" s="5"/>
    </row>
    <row r="7367">
      <c r="A7367" s="3" t="s">
        <v>7518</v>
      </c>
      <c r="B7367" s="3" t="s">
        <v>7516</v>
      </c>
      <c r="C7367" s="3" t="s">
        <v>7519</v>
      </c>
      <c r="D7367" s="4" t="str">
        <f t="shared" ref="D7367:D7368" si="471">HYPERLINK("https://12go.asia/en/travel/Asilah-Hotel-Transfer/Rabat-Sale-Airport", "12Go Link")</f>
        <v>12Go Link</v>
      </c>
      <c r="E7367" s="3" t="s">
        <v>3196</v>
      </c>
      <c r="K7367" s="5"/>
    </row>
    <row r="7368">
      <c r="A7368" s="3" t="s">
        <v>7518</v>
      </c>
      <c r="B7368" s="3" t="s">
        <v>7516</v>
      </c>
      <c r="C7368" s="3" t="s">
        <v>7519</v>
      </c>
      <c r="D7368" s="4" t="str">
        <f t="shared" si="471"/>
        <v>12Go Link</v>
      </c>
      <c r="E7368" s="3" t="s">
        <v>7515</v>
      </c>
      <c r="K7368" s="5"/>
    </row>
    <row r="7369">
      <c r="A7369" s="3" t="s">
        <v>7520</v>
      </c>
      <c r="B7369" s="3" t="s">
        <v>7516</v>
      </c>
      <c r="C7369" s="3" t="s">
        <v>7521</v>
      </c>
      <c r="D7369" s="4" t="str">
        <f t="shared" ref="D7369:D7370" si="472">HYPERLINK("https://12go.asia/en/travel/Bouznika-Hotel-Transfer/Rabat-Sale-Airport", "12Go Link")</f>
        <v>12Go Link</v>
      </c>
      <c r="E7369" s="3" t="s">
        <v>3196</v>
      </c>
      <c r="K7369" s="5"/>
    </row>
    <row r="7370">
      <c r="A7370" s="3" t="s">
        <v>7520</v>
      </c>
      <c r="B7370" s="3" t="s">
        <v>7516</v>
      </c>
      <c r="C7370" s="3" t="s">
        <v>7521</v>
      </c>
      <c r="D7370" s="4" t="str">
        <f t="shared" si="472"/>
        <v>12Go Link</v>
      </c>
      <c r="E7370" s="3" t="s">
        <v>7515</v>
      </c>
      <c r="K7370" s="5"/>
    </row>
    <row r="7371">
      <c r="A7371" s="3" t="s">
        <v>7513</v>
      </c>
      <c r="B7371" s="3" t="s">
        <v>7512</v>
      </c>
      <c r="C7371" s="3" t="s">
        <v>7522</v>
      </c>
      <c r="D7371" s="4" t="str">
        <f t="shared" ref="D7371:D7372" si="473">HYPERLINK("https://12go.asia/en/travel/Mohammed-V-International-Airport/Agadir-Hotel-Transfer", "12Go Link")</f>
        <v>12Go Link</v>
      </c>
      <c r="E7371" s="3" t="s">
        <v>3196</v>
      </c>
      <c r="K7371" s="5"/>
    </row>
    <row r="7372">
      <c r="A7372" s="3" t="s">
        <v>7513</v>
      </c>
      <c r="B7372" s="3" t="s">
        <v>7512</v>
      </c>
      <c r="C7372" s="3" t="s">
        <v>7522</v>
      </c>
      <c r="D7372" s="4" t="str">
        <f t="shared" si="473"/>
        <v>12Go Link</v>
      </c>
      <c r="E7372" s="3" t="s">
        <v>7515</v>
      </c>
      <c r="K7372" s="5"/>
    </row>
    <row r="7373">
      <c r="A7373" s="3" t="s">
        <v>7513</v>
      </c>
      <c r="B7373" s="3" t="s">
        <v>7523</v>
      </c>
      <c r="C7373" s="3" t="s">
        <v>7524</v>
      </c>
      <c r="D7373" s="4" t="str">
        <f t="shared" ref="D7373:D7374" si="474">HYPERLINK("https://12go.asia/en/travel/Mohammed-V-International-Airport/Chefchaouen-Hotel-Transfer", "12Go Link")</f>
        <v>12Go Link</v>
      </c>
      <c r="E7373" s="3" t="s">
        <v>3196</v>
      </c>
      <c r="K7373" s="5"/>
    </row>
    <row r="7374">
      <c r="A7374" s="3" t="s">
        <v>7513</v>
      </c>
      <c r="B7374" s="3" t="s">
        <v>7523</v>
      </c>
      <c r="C7374" s="3" t="s">
        <v>7524</v>
      </c>
      <c r="D7374" s="4" t="str">
        <f t="shared" si="474"/>
        <v>12Go Link</v>
      </c>
      <c r="E7374" s="3" t="s">
        <v>7515</v>
      </c>
      <c r="K7374" s="5"/>
    </row>
    <row r="7375">
      <c r="A7375" s="3" t="s">
        <v>7513</v>
      </c>
      <c r="B7375" s="3" t="s">
        <v>7525</v>
      </c>
      <c r="C7375" s="3" t="s">
        <v>7526</v>
      </c>
      <c r="D7375" s="4" t="str">
        <f t="shared" ref="D7375:D7376" si="475">HYPERLINK("https://12go.asia/en/travel/Mohammed-V-International-Airport/Er-Rachidia-Hotel-Transfer", "12Go Link")</f>
        <v>12Go Link</v>
      </c>
      <c r="E7375" s="3" t="s">
        <v>3196</v>
      </c>
      <c r="K7375" s="5"/>
    </row>
    <row r="7376">
      <c r="A7376" s="3" t="s">
        <v>7513</v>
      </c>
      <c r="B7376" s="3" t="s">
        <v>7525</v>
      </c>
      <c r="C7376" s="3" t="s">
        <v>7526</v>
      </c>
      <c r="D7376" s="4" t="str">
        <f t="shared" si="475"/>
        <v>12Go Link</v>
      </c>
      <c r="E7376" s="3" t="s">
        <v>7515</v>
      </c>
      <c r="K7376" s="5"/>
    </row>
    <row r="7377">
      <c r="A7377" s="3" t="s">
        <v>7513</v>
      </c>
      <c r="B7377" s="3" t="s">
        <v>7527</v>
      </c>
      <c r="C7377" s="3" t="s">
        <v>7528</v>
      </c>
      <c r="D7377" s="4" t="str">
        <f t="shared" ref="D7377:D7378" si="476">HYPERLINK("https://12go.asia/en/travel/Mohammed-V-International-Airport/Erfoud-Hotel-Transfer", "12Go Link")</f>
        <v>12Go Link</v>
      </c>
      <c r="E7377" s="3" t="s">
        <v>3196</v>
      </c>
      <c r="K7377" s="5"/>
    </row>
    <row r="7378">
      <c r="A7378" s="3" t="s">
        <v>7513</v>
      </c>
      <c r="B7378" s="3" t="s">
        <v>7527</v>
      </c>
      <c r="C7378" s="3" t="s">
        <v>7528</v>
      </c>
      <c r="D7378" s="4" t="str">
        <f t="shared" si="476"/>
        <v>12Go Link</v>
      </c>
      <c r="E7378" s="3" t="s">
        <v>7515</v>
      </c>
      <c r="K7378" s="5"/>
    </row>
    <row r="7379">
      <c r="A7379" s="3" t="s">
        <v>7513</v>
      </c>
      <c r="B7379" s="3" t="s">
        <v>7529</v>
      </c>
      <c r="C7379" s="3" t="s">
        <v>7530</v>
      </c>
      <c r="D7379" s="4" t="str">
        <f t="shared" ref="D7379:D7380" si="477">HYPERLINK("https://12go.asia/en/travel/Mohammed-V-International-Airport/Essaouira-Hotel-Transfer", "12Go Link")</f>
        <v>12Go Link</v>
      </c>
      <c r="E7379" s="3" t="s">
        <v>3196</v>
      </c>
      <c r="K7379" s="5"/>
    </row>
    <row r="7380">
      <c r="A7380" s="3" t="s">
        <v>7513</v>
      </c>
      <c r="B7380" s="3" t="s">
        <v>7529</v>
      </c>
      <c r="C7380" s="3" t="s">
        <v>7530</v>
      </c>
      <c r="D7380" s="4" t="str">
        <f t="shared" si="477"/>
        <v>12Go Link</v>
      </c>
      <c r="E7380" s="3" t="s">
        <v>7515</v>
      </c>
      <c r="K7380" s="5"/>
    </row>
    <row r="7381">
      <c r="A7381" s="3" t="s">
        <v>7513</v>
      </c>
      <c r="B7381" s="3" t="s">
        <v>7531</v>
      </c>
      <c r="C7381" s="3" t="s">
        <v>7532</v>
      </c>
      <c r="D7381" s="4" t="str">
        <f t="shared" ref="D7381:D7382" si="478">HYPERLINK("https://12go.asia/en/travel/Mohammed-V-International-Airport/Fes-Hotel-Transfer", "12Go Link")</f>
        <v>12Go Link</v>
      </c>
      <c r="E7381" s="3" t="s">
        <v>3196</v>
      </c>
      <c r="K7381" s="5"/>
    </row>
    <row r="7382">
      <c r="A7382" s="3" t="s">
        <v>7513</v>
      </c>
      <c r="B7382" s="3" t="s">
        <v>7531</v>
      </c>
      <c r="C7382" s="3" t="s">
        <v>7532</v>
      </c>
      <c r="D7382" s="4" t="str">
        <f t="shared" si="478"/>
        <v>12Go Link</v>
      </c>
      <c r="E7382" s="3" t="s">
        <v>7515</v>
      </c>
      <c r="K7382" s="5"/>
    </row>
    <row r="7383">
      <c r="A7383" s="3" t="s">
        <v>7513</v>
      </c>
      <c r="B7383" s="3" t="s">
        <v>7533</v>
      </c>
      <c r="C7383" s="3" t="s">
        <v>7534</v>
      </c>
      <c r="D7383" s="4" t="str">
        <f t="shared" ref="D7383:D7384" si="479">HYPERLINK("https://12go.asia/en/travel/Mohammed-V-International-Airport/Kenitra-Hotel-Transfer", "12Go Link")</f>
        <v>12Go Link</v>
      </c>
      <c r="E7383" s="3" t="s">
        <v>3196</v>
      </c>
      <c r="K7383" s="5"/>
    </row>
    <row r="7384">
      <c r="A7384" s="3" t="s">
        <v>7513</v>
      </c>
      <c r="B7384" s="3" t="s">
        <v>7533</v>
      </c>
      <c r="C7384" s="3" t="s">
        <v>7534</v>
      </c>
      <c r="D7384" s="4" t="str">
        <f t="shared" si="479"/>
        <v>12Go Link</v>
      </c>
      <c r="E7384" s="3" t="s">
        <v>7515</v>
      </c>
      <c r="K7384" s="5"/>
    </row>
    <row r="7385">
      <c r="A7385" s="3" t="s">
        <v>7513</v>
      </c>
      <c r="B7385" s="3" t="s">
        <v>7535</v>
      </c>
      <c r="C7385" s="3" t="s">
        <v>7536</v>
      </c>
      <c r="D7385" s="4" t="str">
        <f t="shared" ref="D7385:D7386" si="480">HYPERLINK("https://12go.asia/en/travel/Mohammed-V-International-Airport/Marrakesh-Hotel-Transfer", "12Go Link")</f>
        <v>12Go Link</v>
      </c>
      <c r="E7385" s="3" t="s">
        <v>3196</v>
      </c>
      <c r="K7385" s="5"/>
    </row>
    <row r="7386">
      <c r="A7386" s="3" t="s">
        <v>7513</v>
      </c>
      <c r="B7386" s="3" t="s">
        <v>7535</v>
      </c>
      <c r="C7386" s="3" t="s">
        <v>7536</v>
      </c>
      <c r="D7386" s="4" t="str">
        <f t="shared" si="480"/>
        <v>12Go Link</v>
      </c>
      <c r="E7386" s="3" t="s">
        <v>7515</v>
      </c>
      <c r="K7386" s="5"/>
    </row>
    <row r="7387">
      <c r="A7387" s="3" t="s">
        <v>7513</v>
      </c>
      <c r="B7387" s="3" t="s">
        <v>7537</v>
      </c>
      <c r="C7387" s="3" t="s">
        <v>7538</v>
      </c>
      <c r="D7387" s="4" t="str">
        <f t="shared" ref="D7387:D7388" si="481">HYPERLINK("https://12go.asia/en/travel/Mohammed-V-International-Airport/Meknes-Hotel-Transfer", "12Go Link")</f>
        <v>12Go Link</v>
      </c>
      <c r="E7387" s="3" t="s">
        <v>3196</v>
      </c>
      <c r="K7387" s="5"/>
    </row>
    <row r="7388">
      <c r="A7388" s="3" t="s">
        <v>7513</v>
      </c>
      <c r="B7388" s="3" t="s">
        <v>7537</v>
      </c>
      <c r="C7388" s="3" t="s">
        <v>7538</v>
      </c>
      <c r="D7388" s="4" t="str">
        <f t="shared" si="481"/>
        <v>12Go Link</v>
      </c>
      <c r="E7388" s="3" t="s">
        <v>7515</v>
      </c>
      <c r="K7388" s="5"/>
    </row>
    <row r="7389">
      <c r="A7389" s="3" t="s">
        <v>7513</v>
      </c>
      <c r="B7389" s="3" t="s">
        <v>7539</v>
      </c>
      <c r="C7389" s="3" t="s">
        <v>7540</v>
      </c>
      <c r="D7389" s="4" t="str">
        <f t="shared" ref="D7389:D7390" si="482">HYPERLINK("https://12go.asia/en/travel/Mohammed-V-International-Airport/Ouarzazate-Hotel-Transfer", "12Go Link")</f>
        <v>12Go Link</v>
      </c>
      <c r="E7389" s="3" t="s">
        <v>3196</v>
      </c>
      <c r="K7389" s="5"/>
    </row>
    <row r="7390">
      <c r="A7390" s="3" t="s">
        <v>7513</v>
      </c>
      <c r="B7390" s="3" t="s">
        <v>7539</v>
      </c>
      <c r="C7390" s="3" t="s">
        <v>7540</v>
      </c>
      <c r="D7390" s="4" t="str">
        <f t="shared" si="482"/>
        <v>12Go Link</v>
      </c>
      <c r="E7390" s="3" t="s">
        <v>7515</v>
      </c>
      <c r="K7390" s="5"/>
    </row>
    <row r="7391">
      <c r="A7391" s="3" t="s">
        <v>7513</v>
      </c>
      <c r="B7391" s="3" t="s">
        <v>7541</v>
      </c>
      <c r="C7391" s="3" t="s">
        <v>7542</v>
      </c>
      <c r="D7391" s="4" t="str">
        <f t="shared" ref="D7391:D7392" si="483">HYPERLINK("https://12go.asia/en/travel/Mohammed-V-International-Airport/Oujda-Hotel-Transfer", "12Go Link")</f>
        <v>12Go Link</v>
      </c>
      <c r="E7391" s="3" t="s">
        <v>3196</v>
      </c>
      <c r="K7391" s="5"/>
    </row>
    <row r="7392">
      <c r="A7392" s="3" t="s">
        <v>7513</v>
      </c>
      <c r="B7392" s="3" t="s">
        <v>7541</v>
      </c>
      <c r="C7392" s="3" t="s">
        <v>7542</v>
      </c>
      <c r="D7392" s="4" t="str">
        <f t="shared" si="483"/>
        <v>12Go Link</v>
      </c>
      <c r="E7392" s="3" t="s">
        <v>7515</v>
      </c>
      <c r="K7392" s="5"/>
    </row>
    <row r="7393">
      <c r="A7393" s="3" t="s">
        <v>7513</v>
      </c>
      <c r="B7393" s="3" t="s">
        <v>7516</v>
      </c>
      <c r="C7393" s="3" t="s">
        <v>7543</v>
      </c>
      <c r="D7393" s="4" t="str">
        <f t="shared" ref="D7393:D7394" si="484">HYPERLINK("https://12go.asia/en/travel/Casablanca-Hotel-Transfer/Rabat-Sale-Airport", "12Go Link")</f>
        <v>12Go Link</v>
      </c>
      <c r="E7393" s="3" t="s">
        <v>3196</v>
      </c>
      <c r="K7393" s="5"/>
    </row>
    <row r="7394">
      <c r="A7394" s="3" t="s">
        <v>7513</v>
      </c>
      <c r="B7394" s="3" t="s">
        <v>7516</v>
      </c>
      <c r="C7394" s="3" t="s">
        <v>7543</v>
      </c>
      <c r="D7394" s="4" t="str">
        <f t="shared" si="484"/>
        <v>12Go Link</v>
      </c>
      <c r="E7394" s="3" t="s">
        <v>7515</v>
      </c>
      <c r="K7394" s="5"/>
    </row>
    <row r="7395">
      <c r="A7395" s="3" t="s">
        <v>7513</v>
      </c>
      <c r="B7395" s="3" t="s">
        <v>7516</v>
      </c>
      <c r="C7395" s="3" t="s">
        <v>7544</v>
      </c>
      <c r="D7395" s="4" t="str">
        <f t="shared" ref="D7395:D7396" si="485">HYPERLINK("https://12go.asia/en/travel/Mohammed-V-International-Airport/Rabat-Hotel-Transfer", "12Go Link")</f>
        <v>12Go Link</v>
      </c>
      <c r="E7395" s="3" t="s">
        <v>3196</v>
      </c>
      <c r="K7395" s="5"/>
    </row>
    <row r="7396">
      <c r="A7396" s="3" t="s">
        <v>7513</v>
      </c>
      <c r="B7396" s="3" t="s">
        <v>7516</v>
      </c>
      <c r="C7396" s="3" t="s">
        <v>7544</v>
      </c>
      <c r="D7396" s="4" t="str">
        <f t="shared" si="485"/>
        <v>12Go Link</v>
      </c>
      <c r="E7396" s="3" t="s">
        <v>7515</v>
      </c>
      <c r="K7396" s="5"/>
    </row>
    <row r="7397">
      <c r="A7397" s="3" t="s">
        <v>7513</v>
      </c>
      <c r="B7397" s="3" t="s">
        <v>7545</v>
      </c>
      <c r="C7397" s="3" t="s">
        <v>7546</v>
      </c>
      <c r="D7397" s="4" t="str">
        <f t="shared" ref="D7397:D7398" si="486">HYPERLINK("https://12go.asia/en/travel/Mohammed-V-International-Airport/Sale-Hotel-Transfer", "12Go Link")</f>
        <v>12Go Link</v>
      </c>
      <c r="E7397" s="3" t="s">
        <v>3196</v>
      </c>
      <c r="K7397" s="5"/>
    </row>
    <row r="7398">
      <c r="A7398" s="3" t="s">
        <v>7513</v>
      </c>
      <c r="B7398" s="3" t="s">
        <v>7545</v>
      </c>
      <c r="C7398" s="3" t="s">
        <v>7546</v>
      </c>
      <c r="D7398" s="4" t="str">
        <f t="shared" si="486"/>
        <v>12Go Link</v>
      </c>
      <c r="E7398" s="3" t="s">
        <v>7515</v>
      </c>
      <c r="K7398" s="5"/>
    </row>
    <row r="7399">
      <c r="A7399" s="3" t="s">
        <v>7513</v>
      </c>
      <c r="B7399" s="3" t="s">
        <v>7547</v>
      </c>
      <c r="C7399" s="3" t="s">
        <v>7548</v>
      </c>
      <c r="D7399" s="4" t="str">
        <f t="shared" ref="D7399:D7400" si="487">HYPERLINK("https://12go.asia/en/travel/Mohammed-V-International-Airport/Tangier-Hotel-Transfer", "12Go Link")</f>
        <v>12Go Link</v>
      </c>
      <c r="E7399" s="3" t="s">
        <v>3196</v>
      </c>
      <c r="K7399" s="5"/>
    </row>
    <row r="7400">
      <c r="A7400" s="3" t="s">
        <v>7513</v>
      </c>
      <c r="B7400" s="3" t="s">
        <v>7547</v>
      </c>
      <c r="C7400" s="3" t="s">
        <v>7548</v>
      </c>
      <c r="D7400" s="4" t="str">
        <f t="shared" si="487"/>
        <v>12Go Link</v>
      </c>
      <c r="E7400" s="3" t="s">
        <v>7515</v>
      </c>
      <c r="K7400" s="5"/>
    </row>
    <row r="7401">
      <c r="A7401" s="3" t="s">
        <v>7513</v>
      </c>
      <c r="B7401" s="3" t="s">
        <v>7549</v>
      </c>
      <c r="C7401" s="3" t="s">
        <v>7550</v>
      </c>
      <c r="D7401" s="4" t="str">
        <f t="shared" ref="D7401:D7402" si="488">HYPERLINK("https://12go.asia/en/travel/Mohammed-V-International-Airport/Temara-Hotel-Transfer", "12Go Link")</f>
        <v>12Go Link</v>
      </c>
      <c r="E7401" s="3" t="s">
        <v>3196</v>
      </c>
      <c r="K7401" s="5"/>
    </row>
    <row r="7402">
      <c r="A7402" s="3" t="s">
        <v>7513</v>
      </c>
      <c r="B7402" s="3" t="s">
        <v>7549</v>
      </c>
      <c r="C7402" s="3" t="s">
        <v>7550</v>
      </c>
      <c r="D7402" s="4" t="str">
        <f t="shared" si="488"/>
        <v>12Go Link</v>
      </c>
      <c r="E7402" s="3" t="s">
        <v>7515</v>
      </c>
      <c r="K7402" s="5"/>
    </row>
    <row r="7403">
      <c r="A7403" s="3" t="s">
        <v>7523</v>
      </c>
      <c r="B7403" s="3" t="s">
        <v>7513</v>
      </c>
      <c r="C7403" s="3" t="s">
        <v>7551</v>
      </c>
      <c r="D7403" s="4" t="str">
        <f t="shared" ref="D7403:D7404" si="489">HYPERLINK("https://12go.asia/en/travel/Chefchaouen-Hotel-Transfer/Mohammed-V-International-Airport", "12Go Link")</f>
        <v>12Go Link</v>
      </c>
      <c r="E7403" s="3" t="s">
        <v>3196</v>
      </c>
      <c r="K7403" s="5"/>
    </row>
    <row r="7404">
      <c r="A7404" s="3" t="s">
        <v>7523</v>
      </c>
      <c r="B7404" s="3" t="s">
        <v>7513</v>
      </c>
      <c r="C7404" s="3" t="s">
        <v>7551</v>
      </c>
      <c r="D7404" s="4" t="str">
        <f t="shared" si="489"/>
        <v>12Go Link</v>
      </c>
      <c r="E7404" s="3" t="s">
        <v>7515</v>
      </c>
      <c r="K7404" s="5"/>
    </row>
    <row r="7405">
      <c r="A7405" s="3" t="s">
        <v>7523</v>
      </c>
      <c r="B7405" s="3" t="s">
        <v>7516</v>
      </c>
      <c r="C7405" s="3" t="s">
        <v>7552</v>
      </c>
      <c r="D7405" s="4" t="str">
        <f t="shared" ref="D7405:D7406" si="490">HYPERLINK("https://12go.asia/en/travel/Chefchaouen-Hotel-Transfer/Rabat-Sale-Airport", "12Go Link")</f>
        <v>12Go Link</v>
      </c>
      <c r="E7405" s="3" t="s">
        <v>3196</v>
      </c>
      <c r="K7405" s="5"/>
    </row>
    <row r="7406">
      <c r="A7406" s="3" t="s">
        <v>7523</v>
      </c>
      <c r="B7406" s="3" t="s">
        <v>7516</v>
      </c>
      <c r="C7406" s="3" t="s">
        <v>7552</v>
      </c>
      <c r="D7406" s="4" t="str">
        <f t="shared" si="490"/>
        <v>12Go Link</v>
      </c>
      <c r="E7406" s="3" t="s">
        <v>7515</v>
      </c>
      <c r="K7406" s="5"/>
    </row>
    <row r="7407">
      <c r="A7407" s="3" t="s">
        <v>7553</v>
      </c>
      <c r="B7407" s="3" t="s">
        <v>7516</v>
      </c>
      <c r="C7407" s="3" t="s">
        <v>7554</v>
      </c>
      <c r="D7407" s="4" t="str">
        <f t="shared" ref="D7407:D7408" si="491">HYPERLINK("https://12go.asia/en/travel/El-Jadida-Hotel-Transfer/Rabat-Sale-Airport", "12Go Link")</f>
        <v>12Go Link</v>
      </c>
      <c r="E7407" s="3" t="s">
        <v>3196</v>
      </c>
      <c r="K7407" s="5"/>
    </row>
    <row r="7408">
      <c r="A7408" s="3" t="s">
        <v>7553</v>
      </c>
      <c r="B7408" s="3" t="s">
        <v>7516</v>
      </c>
      <c r="C7408" s="3" t="s">
        <v>7554</v>
      </c>
      <c r="D7408" s="4" t="str">
        <f t="shared" si="491"/>
        <v>12Go Link</v>
      </c>
      <c r="E7408" s="3" t="s">
        <v>7515</v>
      </c>
      <c r="K7408" s="5"/>
    </row>
    <row r="7409">
      <c r="A7409" s="3" t="s">
        <v>7525</v>
      </c>
      <c r="B7409" s="3" t="s">
        <v>7513</v>
      </c>
      <c r="C7409" s="3" t="s">
        <v>7555</v>
      </c>
      <c r="D7409" s="4" t="str">
        <f t="shared" ref="D7409:D7410" si="492">HYPERLINK("https://12go.asia/en/travel/Er-Rachidia-Hotel-Transfer/Mohammed-V-International-Airport", "12Go Link")</f>
        <v>12Go Link</v>
      </c>
      <c r="E7409" s="3" t="s">
        <v>3196</v>
      </c>
      <c r="K7409" s="5"/>
    </row>
    <row r="7410">
      <c r="A7410" s="3" t="s">
        <v>7525</v>
      </c>
      <c r="B7410" s="3" t="s">
        <v>7513</v>
      </c>
      <c r="C7410" s="3" t="s">
        <v>7555</v>
      </c>
      <c r="D7410" s="4" t="str">
        <f t="shared" si="492"/>
        <v>12Go Link</v>
      </c>
      <c r="E7410" s="3" t="s">
        <v>7515</v>
      </c>
      <c r="K7410" s="5"/>
    </row>
    <row r="7411">
      <c r="A7411" s="3" t="s">
        <v>7527</v>
      </c>
      <c r="B7411" s="3" t="s">
        <v>7513</v>
      </c>
      <c r="C7411" s="3" t="s">
        <v>7556</v>
      </c>
      <c r="D7411" s="4" t="str">
        <f t="shared" ref="D7411:D7412" si="493">HYPERLINK("https://12go.asia/en/travel/Erfoud-Hotel-Transfer/Mohammed-V-International-Airport", "12Go Link")</f>
        <v>12Go Link</v>
      </c>
      <c r="E7411" s="3" t="s">
        <v>3196</v>
      </c>
      <c r="K7411" s="5"/>
    </row>
    <row r="7412">
      <c r="A7412" s="3" t="s">
        <v>7527</v>
      </c>
      <c r="B7412" s="3" t="s">
        <v>7513</v>
      </c>
      <c r="C7412" s="3" t="s">
        <v>7556</v>
      </c>
      <c r="D7412" s="4" t="str">
        <f t="shared" si="493"/>
        <v>12Go Link</v>
      </c>
      <c r="E7412" s="3" t="s">
        <v>7515</v>
      </c>
      <c r="K7412" s="5"/>
    </row>
    <row r="7413">
      <c r="A7413" s="3" t="s">
        <v>7529</v>
      </c>
      <c r="B7413" s="3" t="s">
        <v>7513</v>
      </c>
      <c r="C7413" s="3" t="s">
        <v>7557</v>
      </c>
      <c r="D7413" s="4" t="str">
        <f t="shared" ref="D7413:D7414" si="494">HYPERLINK("https://12go.asia/en/travel/Essaouira-Hotel-Transfer/Mohammed-V-International-Airport", "12Go Link")</f>
        <v>12Go Link</v>
      </c>
      <c r="E7413" s="3" t="s">
        <v>3196</v>
      </c>
      <c r="K7413" s="5"/>
    </row>
    <row r="7414">
      <c r="A7414" s="3" t="s">
        <v>7529</v>
      </c>
      <c r="B7414" s="3" t="s">
        <v>7513</v>
      </c>
      <c r="C7414" s="3" t="s">
        <v>7557</v>
      </c>
      <c r="D7414" s="4" t="str">
        <f t="shared" si="494"/>
        <v>12Go Link</v>
      </c>
      <c r="E7414" s="3" t="s">
        <v>7515</v>
      </c>
      <c r="K7414" s="5"/>
    </row>
    <row r="7415">
      <c r="A7415" s="3" t="s">
        <v>7531</v>
      </c>
      <c r="B7415" s="3" t="s">
        <v>7513</v>
      </c>
      <c r="C7415" s="3" t="s">
        <v>7558</v>
      </c>
      <c r="D7415" s="4" t="str">
        <f t="shared" ref="D7415:D7416" si="495">HYPERLINK("https://12go.asia/en/travel/Fes-Hotel-Transfer/Mohammed-V-International-Airport", "12Go Link")</f>
        <v>12Go Link</v>
      </c>
      <c r="E7415" s="3" t="s">
        <v>3196</v>
      </c>
      <c r="K7415" s="5"/>
    </row>
    <row r="7416">
      <c r="A7416" s="3" t="s">
        <v>7531</v>
      </c>
      <c r="B7416" s="3" t="s">
        <v>7513</v>
      </c>
      <c r="C7416" s="3" t="s">
        <v>7558</v>
      </c>
      <c r="D7416" s="4" t="str">
        <f t="shared" si="495"/>
        <v>12Go Link</v>
      </c>
      <c r="E7416" s="3" t="s">
        <v>7515</v>
      </c>
      <c r="K7416" s="5"/>
    </row>
    <row r="7417">
      <c r="A7417" s="3" t="s">
        <v>7531</v>
      </c>
      <c r="B7417" s="3" t="s">
        <v>7516</v>
      </c>
      <c r="C7417" s="3" t="s">
        <v>7559</v>
      </c>
      <c r="D7417" s="4" t="str">
        <f t="shared" ref="D7417:D7418" si="496">HYPERLINK("https://12go.asia/en/travel/Fes-Airport/Rabat-Sale-Airport", "12Go Link")</f>
        <v>12Go Link</v>
      </c>
      <c r="E7417" s="3" t="s">
        <v>3196</v>
      </c>
      <c r="K7417" s="5"/>
    </row>
    <row r="7418">
      <c r="A7418" s="3" t="s">
        <v>7531</v>
      </c>
      <c r="B7418" s="3" t="s">
        <v>7516</v>
      </c>
      <c r="C7418" s="3" t="s">
        <v>7559</v>
      </c>
      <c r="D7418" s="4" t="str">
        <f t="shared" si="496"/>
        <v>12Go Link</v>
      </c>
      <c r="E7418" s="3" t="s">
        <v>7515</v>
      </c>
      <c r="K7418" s="5"/>
    </row>
    <row r="7419">
      <c r="A7419" s="3" t="s">
        <v>7531</v>
      </c>
      <c r="B7419" s="3" t="s">
        <v>7516</v>
      </c>
      <c r="C7419" s="3" t="s">
        <v>7560</v>
      </c>
      <c r="D7419" s="4" t="str">
        <f t="shared" ref="D7419:D7420" si="497">HYPERLINK("https://12go.asia/en/travel/Fes-Hotel-Transfer/Rabat-Sale-Airport", "12Go Link")</f>
        <v>12Go Link</v>
      </c>
      <c r="E7419" s="3" t="s">
        <v>3196</v>
      </c>
      <c r="K7419" s="5"/>
    </row>
    <row r="7420">
      <c r="A7420" s="3" t="s">
        <v>7531</v>
      </c>
      <c r="B7420" s="3" t="s">
        <v>7516</v>
      </c>
      <c r="C7420" s="3" t="s">
        <v>7560</v>
      </c>
      <c r="D7420" s="4" t="str">
        <f t="shared" si="497"/>
        <v>12Go Link</v>
      </c>
      <c r="E7420" s="3" t="s">
        <v>7515</v>
      </c>
      <c r="K7420" s="5"/>
    </row>
    <row r="7421">
      <c r="A7421" s="3" t="s">
        <v>7561</v>
      </c>
      <c r="B7421" s="3" t="s">
        <v>7516</v>
      </c>
      <c r="C7421" s="3" t="s">
        <v>7562</v>
      </c>
      <c r="D7421" s="4" t="str">
        <f t="shared" ref="D7421:D7422" si="498">HYPERLINK("https://12go.asia/en/travel/Ifrane-Hotel-Transfer/Rabat-Sale-Airport", "12Go Link")</f>
        <v>12Go Link</v>
      </c>
      <c r="E7421" s="3" t="s">
        <v>3196</v>
      </c>
      <c r="K7421" s="5"/>
    </row>
    <row r="7422">
      <c r="A7422" s="3" t="s">
        <v>7561</v>
      </c>
      <c r="B7422" s="3" t="s">
        <v>7516</v>
      </c>
      <c r="C7422" s="3" t="s">
        <v>7562</v>
      </c>
      <c r="D7422" s="4" t="str">
        <f t="shared" si="498"/>
        <v>12Go Link</v>
      </c>
      <c r="E7422" s="3" t="s">
        <v>7515</v>
      </c>
      <c r="K7422" s="5"/>
    </row>
    <row r="7423">
      <c r="A7423" s="3" t="s">
        <v>7533</v>
      </c>
      <c r="B7423" s="3" t="s">
        <v>7513</v>
      </c>
      <c r="C7423" s="3" t="s">
        <v>7563</v>
      </c>
      <c r="D7423" s="4" t="str">
        <f t="shared" ref="D7423:D7424" si="499">HYPERLINK("https://12go.asia/en/travel/Kenitra-Hotel-Transfer/Mohammed-V-International-Airport", "12Go Link")</f>
        <v>12Go Link</v>
      </c>
      <c r="E7423" s="3" t="s">
        <v>3196</v>
      </c>
      <c r="K7423" s="5"/>
    </row>
    <row r="7424">
      <c r="A7424" s="3" t="s">
        <v>7533</v>
      </c>
      <c r="B7424" s="3" t="s">
        <v>7513</v>
      </c>
      <c r="C7424" s="3" t="s">
        <v>7563</v>
      </c>
      <c r="D7424" s="4" t="str">
        <f t="shared" si="499"/>
        <v>12Go Link</v>
      </c>
      <c r="E7424" s="3" t="s">
        <v>7515</v>
      </c>
      <c r="K7424" s="5"/>
    </row>
    <row r="7425">
      <c r="A7425" s="3" t="s">
        <v>7533</v>
      </c>
      <c r="B7425" s="3" t="s">
        <v>7516</v>
      </c>
      <c r="C7425" s="3" t="s">
        <v>7564</v>
      </c>
      <c r="D7425" s="4" t="str">
        <f t="shared" ref="D7425:D7426" si="500">HYPERLINK("https://12go.asia/en/travel/Kenitra-Hotel-Transfer/Rabat-Sale-Airport", "12Go Link")</f>
        <v>12Go Link</v>
      </c>
      <c r="E7425" s="3" t="s">
        <v>3196</v>
      </c>
      <c r="K7425" s="5"/>
    </row>
    <row r="7426">
      <c r="A7426" s="3" t="s">
        <v>7533</v>
      </c>
      <c r="B7426" s="3" t="s">
        <v>7516</v>
      </c>
      <c r="C7426" s="3" t="s">
        <v>7564</v>
      </c>
      <c r="D7426" s="4" t="str">
        <f t="shared" si="500"/>
        <v>12Go Link</v>
      </c>
      <c r="E7426" s="3" t="s">
        <v>7515</v>
      </c>
      <c r="K7426" s="5"/>
    </row>
    <row r="7427">
      <c r="A7427" s="3" t="s">
        <v>7565</v>
      </c>
      <c r="B7427" s="3" t="s">
        <v>7516</v>
      </c>
      <c r="C7427" s="3" t="s">
        <v>7566</v>
      </c>
      <c r="D7427" s="4" t="str">
        <f t="shared" ref="D7427:D7428" si="501">HYPERLINK("https://12go.asia/en/travel/Khouribga-Hotel-Transfer/Rabat-Sale-Airport", "12Go Link")</f>
        <v>12Go Link</v>
      </c>
      <c r="E7427" s="3" t="s">
        <v>3196</v>
      </c>
      <c r="K7427" s="5"/>
    </row>
    <row r="7428">
      <c r="A7428" s="3" t="s">
        <v>7565</v>
      </c>
      <c r="B7428" s="3" t="s">
        <v>7516</v>
      </c>
      <c r="C7428" s="3" t="s">
        <v>7566</v>
      </c>
      <c r="D7428" s="4" t="str">
        <f t="shared" si="501"/>
        <v>12Go Link</v>
      </c>
      <c r="E7428" s="3" t="s">
        <v>7515</v>
      </c>
      <c r="K7428" s="5"/>
    </row>
    <row r="7429">
      <c r="A7429" s="3" t="s">
        <v>7567</v>
      </c>
      <c r="B7429" s="3" t="s">
        <v>7516</v>
      </c>
      <c r="C7429" s="3" t="s">
        <v>7568</v>
      </c>
      <c r="D7429" s="4" t="str">
        <f t="shared" ref="D7429:D7430" si="502">HYPERLINK("https://12go.asia/en/travel/Larache-Hotel-Transfer/Rabat-Sale-Airport", "12Go Link")</f>
        <v>12Go Link</v>
      </c>
      <c r="E7429" s="3" t="s">
        <v>3196</v>
      </c>
      <c r="K7429" s="5"/>
    </row>
    <row r="7430">
      <c r="A7430" s="3" t="s">
        <v>7567</v>
      </c>
      <c r="B7430" s="3" t="s">
        <v>7516</v>
      </c>
      <c r="C7430" s="3" t="s">
        <v>7568</v>
      </c>
      <c r="D7430" s="4" t="str">
        <f t="shared" si="502"/>
        <v>12Go Link</v>
      </c>
      <c r="E7430" s="3" t="s">
        <v>7515</v>
      </c>
      <c r="K7430" s="5"/>
    </row>
    <row r="7431">
      <c r="A7431" s="3" t="s">
        <v>7535</v>
      </c>
      <c r="B7431" s="3" t="s">
        <v>7513</v>
      </c>
      <c r="C7431" s="3" t="s">
        <v>7569</v>
      </c>
      <c r="D7431" s="4" t="str">
        <f t="shared" ref="D7431:D7432" si="503">HYPERLINK("https://12go.asia/en/travel/Marrakesh-Hotel-Transfer/Mohammed-V-International-Airport", "12Go Link")</f>
        <v>12Go Link</v>
      </c>
      <c r="E7431" s="3" t="s">
        <v>3196</v>
      </c>
      <c r="K7431" s="5"/>
    </row>
    <row r="7432">
      <c r="A7432" s="3" t="s">
        <v>7535</v>
      </c>
      <c r="B7432" s="3" t="s">
        <v>7513</v>
      </c>
      <c r="C7432" s="3" t="s">
        <v>7569</v>
      </c>
      <c r="D7432" s="4" t="str">
        <f t="shared" si="503"/>
        <v>12Go Link</v>
      </c>
      <c r="E7432" s="3" t="s">
        <v>7515</v>
      </c>
      <c r="K7432" s="5"/>
    </row>
    <row r="7433">
      <c r="A7433" s="3" t="s">
        <v>7535</v>
      </c>
      <c r="B7433" s="3" t="s">
        <v>7516</v>
      </c>
      <c r="C7433" s="3" t="s">
        <v>7570</v>
      </c>
      <c r="D7433" s="4" t="str">
        <f t="shared" ref="D7433:D7434" si="504">HYPERLINK("https://12go.asia/en/travel/Marrakech-Medina-Transfer/Rabat-Sale-Airport", "12Go Link")</f>
        <v>12Go Link</v>
      </c>
      <c r="E7433" s="3" t="s">
        <v>3196</v>
      </c>
      <c r="K7433" s="5"/>
    </row>
    <row r="7434">
      <c r="A7434" s="3" t="s">
        <v>7535</v>
      </c>
      <c r="B7434" s="3" t="s">
        <v>7516</v>
      </c>
      <c r="C7434" s="3" t="s">
        <v>7570</v>
      </c>
      <c r="D7434" s="4" t="str">
        <f t="shared" si="504"/>
        <v>12Go Link</v>
      </c>
      <c r="E7434" s="3" t="s">
        <v>7515</v>
      </c>
      <c r="K7434" s="5"/>
    </row>
    <row r="7435">
      <c r="A7435" s="3" t="s">
        <v>7535</v>
      </c>
      <c r="B7435" s="3" t="s">
        <v>7516</v>
      </c>
      <c r="C7435" s="3" t="s">
        <v>7571</v>
      </c>
      <c r="D7435" s="4" t="str">
        <f t="shared" ref="D7435:D7436" si="505">HYPERLINK("https://12go.asia/en/travel/Marrakesh-Hotel-Transfer/Rabat-Sale-Airport", "12Go Link")</f>
        <v>12Go Link</v>
      </c>
      <c r="E7435" s="3" t="s">
        <v>3196</v>
      </c>
      <c r="K7435" s="5"/>
    </row>
    <row r="7436">
      <c r="A7436" s="3" t="s">
        <v>7535</v>
      </c>
      <c r="B7436" s="3" t="s">
        <v>7516</v>
      </c>
      <c r="C7436" s="3" t="s">
        <v>7571</v>
      </c>
      <c r="D7436" s="4" t="str">
        <f t="shared" si="505"/>
        <v>12Go Link</v>
      </c>
      <c r="E7436" s="3" t="s">
        <v>7515</v>
      </c>
      <c r="K7436" s="5"/>
    </row>
    <row r="7437">
      <c r="A7437" s="3" t="s">
        <v>7537</v>
      </c>
      <c r="B7437" s="3" t="s">
        <v>7513</v>
      </c>
      <c r="C7437" s="3" t="s">
        <v>7572</v>
      </c>
      <c r="D7437" s="4" t="str">
        <f t="shared" ref="D7437:D7438" si="506">HYPERLINK("https://12go.asia/en/travel/Meknes-Hotel-Transfer/Mohammed-V-International-Airport", "12Go Link")</f>
        <v>12Go Link</v>
      </c>
      <c r="E7437" s="3" t="s">
        <v>3196</v>
      </c>
      <c r="K7437" s="5"/>
    </row>
    <row r="7438">
      <c r="A7438" s="3" t="s">
        <v>7537</v>
      </c>
      <c r="B7438" s="3" t="s">
        <v>7513</v>
      </c>
      <c r="C7438" s="3" t="s">
        <v>7572</v>
      </c>
      <c r="D7438" s="4" t="str">
        <f t="shared" si="506"/>
        <v>12Go Link</v>
      </c>
      <c r="E7438" s="3" t="s">
        <v>7515</v>
      </c>
      <c r="K7438" s="5"/>
    </row>
    <row r="7439">
      <c r="A7439" s="3" t="s">
        <v>7537</v>
      </c>
      <c r="B7439" s="3" t="s">
        <v>7516</v>
      </c>
      <c r="C7439" s="3" t="s">
        <v>7573</v>
      </c>
      <c r="D7439" s="4" t="str">
        <f t="shared" ref="D7439:D7440" si="507">HYPERLINK("https://12go.asia/en/travel/Meknes-Hotel-Transfer/Rabat-Sale-Airport", "12Go Link")</f>
        <v>12Go Link</v>
      </c>
      <c r="E7439" s="3" t="s">
        <v>3196</v>
      </c>
      <c r="K7439" s="5"/>
    </row>
    <row r="7440">
      <c r="A7440" s="3" t="s">
        <v>7537</v>
      </c>
      <c r="B7440" s="3" t="s">
        <v>7516</v>
      </c>
      <c r="C7440" s="3" t="s">
        <v>7573</v>
      </c>
      <c r="D7440" s="4" t="str">
        <f t="shared" si="507"/>
        <v>12Go Link</v>
      </c>
      <c r="E7440" s="3" t="s">
        <v>7515</v>
      </c>
      <c r="K7440" s="5"/>
    </row>
    <row r="7441">
      <c r="A7441" s="3" t="s">
        <v>7574</v>
      </c>
      <c r="B7441" s="3" t="s">
        <v>7516</v>
      </c>
      <c r="C7441" s="3" t="s">
        <v>7575</v>
      </c>
      <c r="D7441" s="4" t="str">
        <f t="shared" ref="D7441:D7442" si="508">HYPERLINK("https://12go.asia/en/travel/Mohammedia-Hotel-Transfer/Rabat-Sale-Airport", "12Go Link")</f>
        <v>12Go Link</v>
      </c>
      <c r="E7441" s="3" t="s">
        <v>3196</v>
      </c>
      <c r="K7441" s="5"/>
    </row>
    <row r="7442">
      <c r="A7442" s="3" t="s">
        <v>7574</v>
      </c>
      <c r="B7442" s="3" t="s">
        <v>7516</v>
      </c>
      <c r="C7442" s="3" t="s">
        <v>7575</v>
      </c>
      <c r="D7442" s="4" t="str">
        <f t="shared" si="508"/>
        <v>12Go Link</v>
      </c>
      <c r="E7442" s="3" t="s">
        <v>7515</v>
      </c>
      <c r="K7442" s="5"/>
    </row>
    <row r="7443">
      <c r="A7443" s="3" t="s">
        <v>7576</v>
      </c>
      <c r="B7443" s="3" t="s">
        <v>7516</v>
      </c>
      <c r="C7443" s="3" t="s">
        <v>7577</v>
      </c>
      <c r="D7443" s="4" t="str">
        <f t="shared" ref="D7443:D7444" si="509">HYPERLINK("https://12go.asia/en/travel/Moulay-Bousselham-Hotel-Transfer/Rabat-Sale-Airport", "12Go Link")</f>
        <v>12Go Link</v>
      </c>
      <c r="E7443" s="3" t="s">
        <v>3196</v>
      </c>
      <c r="K7443" s="5"/>
    </row>
    <row r="7444">
      <c r="A7444" s="3" t="s">
        <v>7576</v>
      </c>
      <c r="B7444" s="3" t="s">
        <v>7516</v>
      </c>
      <c r="C7444" s="3" t="s">
        <v>7577</v>
      </c>
      <c r="D7444" s="4" t="str">
        <f t="shared" si="509"/>
        <v>12Go Link</v>
      </c>
      <c r="E7444" s="3" t="s">
        <v>7515</v>
      </c>
      <c r="K7444" s="5"/>
    </row>
    <row r="7445">
      <c r="A7445" s="3" t="s">
        <v>7578</v>
      </c>
      <c r="B7445" s="3" t="s">
        <v>7516</v>
      </c>
      <c r="C7445" s="3" t="s">
        <v>7579</v>
      </c>
      <c r="D7445" s="4" t="str">
        <f t="shared" ref="D7445:D7446" si="510">HYPERLINK("https://12go.asia/en/travel/Nador-Hotel-Transfer/Rabat-Sale-Airport", "12Go Link")</f>
        <v>12Go Link</v>
      </c>
      <c r="E7445" s="3" t="s">
        <v>3196</v>
      </c>
      <c r="K7445" s="5"/>
    </row>
    <row r="7446">
      <c r="A7446" s="3" t="s">
        <v>7578</v>
      </c>
      <c r="B7446" s="3" t="s">
        <v>7516</v>
      </c>
      <c r="C7446" s="3" t="s">
        <v>7579</v>
      </c>
      <c r="D7446" s="4" t="str">
        <f t="shared" si="510"/>
        <v>12Go Link</v>
      </c>
      <c r="E7446" s="3" t="s">
        <v>7515</v>
      </c>
      <c r="K7446" s="5"/>
    </row>
    <row r="7447">
      <c r="A7447" s="3" t="s">
        <v>7539</v>
      </c>
      <c r="B7447" s="3" t="s">
        <v>7513</v>
      </c>
      <c r="C7447" s="3" t="s">
        <v>7580</v>
      </c>
      <c r="D7447" s="4" t="str">
        <f t="shared" ref="D7447:D7448" si="511">HYPERLINK("https://12go.asia/en/travel/Ouarzazate-Hotel-Transfer/Mohammed-V-International-Airport", "12Go Link")</f>
        <v>12Go Link</v>
      </c>
      <c r="E7447" s="3" t="s">
        <v>3196</v>
      </c>
      <c r="K7447" s="5"/>
    </row>
    <row r="7448">
      <c r="A7448" s="3" t="s">
        <v>7539</v>
      </c>
      <c r="B7448" s="3" t="s">
        <v>7513</v>
      </c>
      <c r="C7448" s="3" t="s">
        <v>7580</v>
      </c>
      <c r="D7448" s="4" t="str">
        <f t="shared" si="511"/>
        <v>12Go Link</v>
      </c>
      <c r="E7448" s="3" t="s">
        <v>7515</v>
      </c>
      <c r="K7448" s="5"/>
    </row>
    <row r="7449">
      <c r="A7449" s="3" t="s">
        <v>7541</v>
      </c>
      <c r="B7449" s="3" t="s">
        <v>7513</v>
      </c>
      <c r="C7449" s="3" t="s">
        <v>7581</v>
      </c>
      <c r="D7449" s="4" t="str">
        <f t="shared" ref="D7449:D7450" si="512">HYPERLINK("https://12go.asia/en/travel/Oujda-Hotel-Transfer/Mohammed-V-International-Airport", "12Go Link")</f>
        <v>12Go Link</v>
      </c>
      <c r="E7449" s="3" t="s">
        <v>3196</v>
      </c>
      <c r="K7449" s="5"/>
    </row>
    <row r="7450">
      <c r="A7450" s="3" t="s">
        <v>7541</v>
      </c>
      <c r="B7450" s="3" t="s">
        <v>7513</v>
      </c>
      <c r="C7450" s="3" t="s">
        <v>7581</v>
      </c>
      <c r="D7450" s="4" t="str">
        <f t="shared" si="512"/>
        <v>12Go Link</v>
      </c>
      <c r="E7450" s="3" t="s">
        <v>7515</v>
      </c>
      <c r="K7450" s="5"/>
    </row>
    <row r="7451">
      <c r="A7451" s="3" t="s">
        <v>7516</v>
      </c>
      <c r="B7451" s="3" t="s">
        <v>7512</v>
      </c>
      <c r="C7451" s="3" t="s">
        <v>7582</v>
      </c>
      <c r="D7451" s="4" t="str">
        <f t="shared" ref="D7451:D7452" si="513">HYPERLINK("https://12go.asia/en/travel/Rabat-Sale-Airport/Agadir-Hotel-Transfer", "12Go Link")</f>
        <v>12Go Link</v>
      </c>
      <c r="E7451" s="3" t="s">
        <v>3196</v>
      </c>
      <c r="K7451" s="5"/>
    </row>
    <row r="7452">
      <c r="A7452" s="3" t="s">
        <v>7516</v>
      </c>
      <c r="B7452" s="3" t="s">
        <v>7512</v>
      </c>
      <c r="C7452" s="3" t="s">
        <v>7582</v>
      </c>
      <c r="D7452" s="4" t="str">
        <f t="shared" si="513"/>
        <v>12Go Link</v>
      </c>
      <c r="E7452" s="3" t="s">
        <v>7515</v>
      </c>
      <c r="K7452" s="5"/>
    </row>
    <row r="7453">
      <c r="A7453" s="3" t="s">
        <v>7516</v>
      </c>
      <c r="B7453" s="3" t="s">
        <v>7518</v>
      </c>
      <c r="C7453" s="3" t="s">
        <v>7583</v>
      </c>
      <c r="D7453" s="4" t="str">
        <f t="shared" ref="D7453:D7454" si="514">HYPERLINK("https://12go.asia/en/travel/Rabat-Sale-Airport/Asilah-Hotel-Transfer", "12Go Link")</f>
        <v>12Go Link</v>
      </c>
      <c r="E7453" s="3" t="s">
        <v>3196</v>
      </c>
      <c r="K7453" s="5"/>
    </row>
    <row r="7454">
      <c r="A7454" s="3" t="s">
        <v>7516</v>
      </c>
      <c r="B7454" s="3" t="s">
        <v>7518</v>
      </c>
      <c r="C7454" s="3" t="s">
        <v>7583</v>
      </c>
      <c r="D7454" s="4" t="str">
        <f t="shared" si="514"/>
        <v>12Go Link</v>
      </c>
      <c r="E7454" s="3" t="s">
        <v>7515</v>
      </c>
      <c r="K7454" s="5"/>
    </row>
    <row r="7455">
      <c r="A7455" s="3" t="s">
        <v>7516</v>
      </c>
      <c r="B7455" s="3" t="s">
        <v>7520</v>
      </c>
      <c r="C7455" s="3" t="s">
        <v>7584</v>
      </c>
      <c r="D7455" s="4" t="str">
        <f t="shared" ref="D7455:D7456" si="515">HYPERLINK("https://12go.asia/en/travel/Rabat-Sale-Airport/Bouznika-Hotel-Transfer", "12Go Link")</f>
        <v>12Go Link</v>
      </c>
      <c r="E7455" s="3" t="s">
        <v>3196</v>
      </c>
      <c r="K7455" s="5"/>
    </row>
    <row r="7456">
      <c r="A7456" s="3" t="s">
        <v>7516</v>
      </c>
      <c r="B7456" s="3" t="s">
        <v>7520</v>
      </c>
      <c r="C7456" s="3" t="s">
        <v>7584</v>
      </c>
      <c r="D7456" s="4" t="str">
        <f t="shared" si="515"/>
        <v>12Go Link</v>
      </c>
      <c r="E7456" s="3" t="s">
        <v>7515</v>
      </c>
      <c r="K7456" s="5"/>
    </row>
    <row r="7457">
      <c r="A7457" s="3" t="s">
        <v>7516</v>
      </c>
      <c r="B7457" s="3" t="s">
        <v>7513</v>
      </c>
      <c r="C7457" s="3" t="s">
        <v>7585</v>
      </c>
      <c r="D7457" s="4" t="str">
        <f t="shared" ref="D7457:D7458" si="516">HYPERLINK("https://12go.asia/en/travel/Rabat-Hotel-Transfer/Mohammed-V-International-Airport", "12Go Link")</f>
        <v>12Go Link</v>
      </c>
      <c r="E7457" s="3" t="s">
        <v>3196</v>
      </c>
      <c r="K7457" s="5"/>
    </row>
    <row r="7458">
      <c r="A7458" s="3" t="s">
        <v>7516</v>
      </c>
      <c r="B7458" s="3" t="s">
        <v>7513</v>
      </c>
      <c r="C7458" s="3" t="s">
        <v>7585</v>
      </c>
      <c r="D7458" s="4" t="str">
        <f t="shared" si="516"/>
        <v>12Go Link</v>
      </c>
      <c r="E7458" s="3" t="s">
        <v>7515</v>
      </c>
      <c r="K7458" s="5"/>
    </row>
    <row r="7459">
      <c r="A7459" s="3" t="s">
        <v>7516</v>
      </c>
      <c r="B7459" s="3" t="s">
        <v>7513</v>
      </c>
      <c r="C7459" s="3" t="s">
        <v>7586</v>
      </c>
      <c r="D7459" s="4" t="str">
        <f t="shared" ref="D7459:D7460" si="517">HYPERLINK("https://12go.asia/en/travel/Rabat-Sale-Airport/Casablanca-Hotel-Transfer", "12Go Link")</f>
        <v>12Go Link</v>
      </c>
      <c r="E7459" s="3" t="s">
        <v>3196</v>
      </c>
      <c r="K7459" s="5"/>
    </row>
    <row r="7460">
      <c r="A7460" s="3" t="s">
        <v>7516</v>
      </c>
      <c r="B7460" s="3" t="s">
        <v>7513</v>
      </c>
      <c r="C7460" s="3" t="s">
        <v>7586</v>
      </c>
      <c r="D7460" s="4" t="str">
        <f t="shared" si="517"/>
        <v>12Go Link</v>
      </c>
      <c r="E7460" s="3" t="s">
        <v>7515</v>
      </c>
      <c r="K7460" s="5"/>
    </row>
    <row r="7461">
      <c r="A7461" s="3" t="s">
        <v>7516</v>
      </c>
      <c r="B7461" s="3" t="s">
        <v>7523</v>
      </c>
      <c r="C7461" s="3" t="s">
        <v>7587</v>
      </c>
      <c r="D7461" s="4" t="str">
        <f t="shared" ref="D7461:D7462" si="518">HYPERLINK("https://12go.asia/en/travel/Rabat-Sale-Airport/Chefchaouen-Hotel-Transfer", "12Go Link")</f>
        <v>12Go Link</v>
      </c>
      <c r="E7461" s="3" t="s">
        <v>3196</v>
      </c>
      <c r="K7461" s="5"/>
    </row>
    <row r="7462">
      <c r="A7462" s="3" t="s">
        <v>7516</v>
      </c>
      <c r="B7462" s="3" t="s">
        <v>7523</v>
      </c>
      <c r="C7462" s="3" t="s">
        <v>7587</v>
      </c>
      <c r="D7462" s="4" t="str">
        <f t="shared" si="518"/>
        <v>12Go Link</v>
      </c>
      <c r="E7462" s="3" t="s">
        <v>7515</v>
      </c>
      <c r="K7462" s="5"/>
    </row>
    <row r="7463">
      <c r="A7463" s="3" t="s">
        <v>7516</v>
      </c>
      <c r="B7463" s="3" t="s">
        <v>7553</v>
      </c>
      <c r="C7463" s="3" t="s">
        <v>7588</v>
      </c>
      <c r="D7463" s="4" t="str">
        <f t="shared" ref="D7463:D7464" si="519">HYPERLINK("https://12go.asia/en/travel/Rabat-Sale-Airport/El-Jadida-Hotel-Transfer", "12Go Link")</f>
        <v>12Go Link</v>
      </c>
      <c r="E7463" s="3" t="s">
        <v>3196</v>
      </c>
      <c r="K7463" s="5"/>
    </row>
    <row r="7464">
      <c r="A7464" s="3" t="s">
        <v>7516</v>
      </c>
      <c r="B7464" s="3" t="s">
        <v>7553</v>
      </c>
      <c r="C7464" s="3" t="s">
        <v>7588</v>
      </c>
      <c r="D7464" s="4" t="str">
        <f t="shared" si="519"/>
        <v>12Go Link</v>
      </c>
      <c r="E7464" s="3" t="s">
        <v>7515</v>
      </c>
      <c r="K7464" s="5"/>
    </row>
    <row r="7465">
      <c r="A7465" s="3" t="s">
        <v>7516</v>
      </c>
      <c r="B7465" s="3" t="s">
        <v>7531</v>
      </c>
      <c r="C7465" s="3" t="s">
        <v>7589</v>
      </c>
      <c r="D7465" s="4" t="str">
        <f t="shared" ref="D7465:D7466" si="520">HYPERLINK("https://12go.asia/en/travel/Rabat-Sale-Airport/Fes-Airport", "12Go Link")</f>
        <v>12Go Link</v>
      </c>
      <c r="E7465" s="3" t="s">
        <v>3196</v>
      </c>
      <c r="K7465" s="5"/>
    </row>
    <row r="7466">
      <c r="A7466" s="3" t="s">
        <v>7516</v>
      </c>
      <c r="B7466" s="3" t="s">
        <v>7531</v>
      </c>
      <c r="C7466" s="3" t="s">
        <v>7589</v>
      </c>
      <c r="D7466" s="4" t="str">
        <f t="shared" si="520"/>
        <v>12Go Link</v>
      </c>
      <c r="E7466" s="3" t="s">
        <v>7515</v>
      </c>
      <c r="K7466" s="5"/>
    </row>
    <row r="7467">
      <c r="A7467" s="3" t="s">
        <v>7516</v>
      </c>
      <c r="B7467" s="3" t="s">
        <v>7531</v>
      </c>
      <c r="C7467" s="3" t="s">
        <v>7590</v>
      </c>
      <c r="D7467" s="4" t="str">
        <f t="shared" ref="D7467:D7468" si="521">HYPERLINK("https://12go.asia/en/travel/Rabat-Sale-Airport/Fes-Hotel-Transfer", "12Go Link")</f>
        <v>12Go Link</v>
      </c>
      <c r="E7467" s="3" t="s">
        <v>3196</v>
      </c>
      <c r="K7467" s="5"/>
    </row>
    <row r="7468">
      <c r="A7468" s="3" t="s">
        <v>7516</v>
      </c>
      <c r="B7468" s="3" t="s">
        <v>7531</v>
      </c>
      <c r="C7468" s="3" t="s">
        <v>7590</v>
      </c>
      <c r="D7468" s="4" t="str">
        <f t="shared" si="521"/>
        <v>12Go Link</v>
      </c>
      <c r="E7468" s="3" t="s">
        <v>7515</v>
      </c>
      <c r="K7468" s="5"/>
    </row>
    <row r="7469">
      <c r="A7469" s="3" t="s">
        <v>7516</v>
      </c>
      <c r="B7469" s="3" t="s">
        <v>7561</v>
      </c>
      <c r="C7469" s="3" t="s">
        <v>7591</v>
      </c>
      <c r="D7469" s="4" t="str">
        <f t="shared" ref="D7469:D7470" si="522">HYPERLINK("https://12go.asia/en/travel/Rabat-Sale-Airport/Ifrane-Hotel-Transfer", "12Go Link")</f>
        <v>12Go Link</v>
      </c>
      <c r="E7469" s="3" t="s">
        <v>3196</v>
      </c>
      <c r="K7469" s="5"/>
    </row>
    <row r="7470">
      <c r="A7470" s="3" t="s">
        <v>7516</v>
      </c>
      <c r="B7470" s="3" t="s">
        <v>7561</v>
      </c>
      <c r="C7470" s="3" t="s">
        <v>7591</v>
      </c>
      <c r="D7470" s="4" t="str">
        <f t="shared" si="522"/>
        <v>12Go Link</v>
      </c>
      <c r="E7470" s="3" t="s">
        <v>7515</v>
      </c>
      <c r="K7470" s="5"/>
    </row>
    <row r="7471">
      <c r="A7471" s="3" t="s">
        <v>7516</v>
      </c>
      <c r="B7471" s="3" t="s">
        <v>7533</v>
      </c>
      <c r="C7471" s="3" t="s">
        <v>7592</v>
      </c>
      <c r="D7471" s="4" t="str">
        <f t="shared" ref="D7471:D7472" si="523">HYPERLINK("https://12go.asia/en/travel/Rabat-Sale-Airport/Kenitra-Hotel-Transfer", "12Go Link")</f>
        <v>12Go Link</v>
      </c>
      <c r="E7471" s="3" t="s">
        <v>3196</v>
      </c>
      <c r="K7471" s="5"/>
    </row>
    <row r="7472">
      <c r="A7472" s="3" t="s">
        <v>7516</v>
      </c>
      <c r="B7472" s="3" t="s">
        <v>7533</v>
      </c>
      <c r="C7472" s="3" t="s">
        <v>7592</v>
      </c>
      <c r="D7472" s="4" t="str">
        <f t="shared" si="523"/>
        <v>12Go Link</v>
      </c>
      <c r="E7472" s="3" t="s">
        <v>7515</v>
      </c>
      <c r="K7472" s="5"/>
    </row>
    <row r="7473">
      <c r="A7473" s="3" t="s">
        <v>7516</v>
      </c>
      <c r="B7473" s="3" t="s">
        <v>7565</v>
      </c>
      <c r="C7473" s="3" t="s">
        <v>7593</v>
      </c>
      <c r="D7473" s="4" t="str">
        <f t="shared" ref="D7473:D7474" si="524">HYPERLINK("https://12go.asia/en/travel/Rabat-Sale-Airport/Khouribga-Hotel-Transfer", "12Go Link")</f>
        <v>12Go Link</v>
      </c>
      <c r="E7473" s="3" t="s">
        <v>3196</v>
      </c>
      <c r="K7473" s="5"/>
    </row>
    <row r="7474">
      <c r="A7474" s="3" t="s">
        <v>7516</v>
      </c>
      <c r="B7474" s="3" t="s">
        <v>7565</v>
      </c>
      <c r="C7474" s="3" t="s">
        <v>7593</v>
      </c>
      <c r="D7474" s="4" t="str">
        <f t="shared" si="524"/>
        <v>12Go Link</v>
      </c>
      <c r="E7474" s="3" t="s">
        <v>7515</v>
      </c>
      <c r="K7474" s="5"/>
    </row>
    <row r="7475">
      <c r="A7475" s="3" t="s">
        <v>7516</v>
      </c>
      <c r="B7475" s="3" t="s">
        <v>7567</v>
      </c>
      <c r="C7475" s="3" t="s">
        <v>7594</v>
      </c>
      <c r="D7475" s="4" t="str">
        <f t="shared" ref="D7475:D7476" si="525">HYPERLINK("https://12go.asia/en/travel/Rabat-Sale-Airport/Larache-Hotel-Transfer", "12Go Link")</f>
        <v>12Go Link</v>
      </c>
      <c r="E7475" s="3" t="s">
        <v>3196</v>
      </c>
      <c r="K7475" s="5"/>
    </row>
    <row r="7476">
      <c r="A7476" s="3" t="s">
        <v>7516</v>
      </c>
      <c r="B7476" s="3" t="s">
        <v>7567</v>
      </c>
      <c r="C7476" s="3" t="s">
        <v>7594</v>
      </c>
      <c r="D7476" s="4" t="str">
        <f t="shared" si="525"/>
        <v>12Go Link</v>
      </c>
      <c r="E7476" s="3" t="s">
        <v>7515</v>
      </c>
      <c r="K7476" s="5"/>
    </row>
    <row r="7477">
      <c r="A7477" s="3" t="s">
        <v>7516</v>
      </c>
      <c r="B7477" s="3" t="s">
        <v>7535</v>
      </c>
      <c r="C7477" s="3" t="s">
        <v>7595</v>
      </c>
      <c r="D7477" s="4" t="str">
        <f t="shared" ref="D7477:D7478" si="526">HYPERLINK("https://12go.asia/en/travel/Rabat-Sale-Airport/Marrakech-Medina-Transfer", "12Go Link")</f>
        <v>12Go Link</v>
      </c>
      <c r="E7477" s="3" t="s">
        <v>3196</v>
      </c>
      <c r="K7477" s="5"/>
    </row>
    <row r="7478">
      <c r="A7478" s="3" t="s">
        <v>7516</v>
      </c>
      <c r="B7478" s="3" t="s">
        <v>7535</v>
      </c>
      <c r="C7478" s="3" t="s">
        <v>7595</v>
      </c>
      <c r="D7478" s="4" t="str">
        <f t="shared" si="526"/>
        <v>12Go Link</v>
      </c>
      <c r="E7478" s="3" t="s">
        <v>7515</v>
      </c>
      <c r="K7478" s="5"/>
    </row>
    <row r="7479">
      <c r="A7479" s="3" t="s">
        <v>7516</v>
      </c>
      <c r="B7479" s="3" t="s">
        <v>7535</v>
      </c>
      <c r="C7479" s="3" t="s">
        <v>7596</v>
      </c>
      <c r="D7479" s="4" t="str">
        <f t="shared" ref="D7479:D7480" si="527">HYPERLINK("https://12go.asia/en/travel/Rabat-Sale-Airport/Marrakesh-Hotel-Transfer", "12Go Link")</f>
        <v>12Go Link</v>
      </c>
      <c r="E7479" s="3" t="s">
        <v>3196</v>
      </c>
      <c r="K7479" s="5"/>
    </row>
    <row r="7480">
      <c r="A7480" s="3" t="s">
        <v>7516</v>
      </c>
      <c r="B7480" s="3" t="s">
        <v>7535</v>
      </c>
      <c r="C7480" s="3" t="s">
        <v>7596</v>
      </c>
      <c r="D7480" s="4" t="str">
        <f t="shared" si="527"/>
        <v>12Go Link</v>
      </c>
      <c r="E7480" s="3" t="s">
        <v>7515</v>
      </c>
      <c r="K7480" s="5"/>
    </row>
    <row r="7481">
      <c r="A7481" s="3" t="s">
        <v>7516</v>
      </c>
      <c r="B7481" s="3" t="s">
        <v>7537</v>
      </c>
      <c r="C7481" s="3" t="s">
        <v>7597</v>
      </c>
      <c r="D7481" s="4" t="str">
        <f t="shared" ref="D7481:D7482" si="528">HYPERLINK("https://12go.asia/en/travel/Rabat-Sale-Airport/Meknes-Hotel-Transfer", "12Go Link")</f>
        <v>12Go Link</v>
      </c>
      <c r="E7481" s="3" t="s">
        <v>3196</v>
      </c>
      <c r="K7481" s="5"/>
    </row>
    <row r="7482">
      <c r="A7482" s="3" t="s">
        <v>7516</v>
      </c>
      <c r="B7482" s="3" t="s">
        <v>7537</v>
      </c>
      <c r="C7482" s="3" t="s">
        <v>7597</v>
      </c>
      <c r="D7482" s="4" t="str">
        <f t="shared" si="528"/>
        <v>12Go Link</v>
      </c>
      <c r="E7482" s="3" t="s">
        <v>7515</v>
      </c>
      <c r="K7482" s="5"/>
    </row>
    <row r="7483">
      <c r="A7483" s="3" t="s">
        <v>7516</v>
      </c>
      <c r="B7483" s="3" t="s">
        <v>7574</v>
      </c>
      <c r="C7483" s="3" t="s">
        <v>7598</v>
      </c>
      <c r="D7483" s="4" t="str">
        <f t="shared" ref="D7483:D7484" si="529">HYPERLINK("https://12go.asia/en/travel/Rabat-Sale-Airport/Mohammedia-Hotel-Transfer", "12Go Link")</f>
        <v>12Go Link</v>
      </c>
      <c r="E7483" s="3" t="s">
        <v>3196</v>
      </c>
      <c r="K7483" s="5"/>
    </row>
    <row r="7484">
      <c r="A7484" s="3" t="s">
        <v>7516</v>
      </c>
      <c r="B7484" s="3" t="s">
        <v>7574</v>
      </c>
      <c r="C7484" s="3" t="s">
        <v>7598</v>
      </c>
      <c r="D7484" s="4" t="str">
        <f t="shared" si="529"/>
        <v>12Go Link</v>
      </c>
      <c r="E7484" s="3" t="s">
        <v>7515</v>
      </c>
      <c r="K7484" s="5"/>
    </row>
    <row r="7485">
      <c r="A7485" s="3" t="s">
        <v>7516</v>
      </c>
      <c r="B7485" s="3" t="s">
        <v>7576</v>
      </c>
      <c r="C7485" s="3" t="s">
        <v>7599</v>
      </c>
      <c r="D7485" s="4" t="str">
        <f t="shared" ref="D7485:D7486" si="530">HYPERLINK("https://12go.asia/en/travel/Rabat-Sale-Airport/Moulay-Bousselham-Hotel-Transfer", "12Go Link")</f>
        <v>12Go Link</v>
      </c>
      <c r="E7485" s="3" t="s">
        <v>3196</v>
      </c>
      <c r="K7485" s="5"/>
    </row>
    <row r="7486">
      <c r="A7486" s="3" t="s">
        <v>7516</v>
      </c>
      <c r="B7486" s="3" t="s">
        <v>7576</v>
      </c>
      <c r="C7486" s="3" t="s">
        <v>7599</v>
      </c>
      <c r="D7486" s="4" t="str">
        <f t="shared" si="530"/>
        <v>12Go Link</v>
      </c>
      <c r="E7486" s="3" t="s">
        <v>7515</v>
      </c>
      <c r="K7486" s="5"/>
    </row>
    <row r="7487">
      <c r="A7487" s="3" t="s">
        <v>7516</v>
      </c>
      <c r="B7487" s="3" t="s">
        <v>7578</v>
      </c>
      <c r="C7487" s="3" t="s">
        <v>7600</v>
      </c>
      <c r="D7487" s="4" t="str">
        <f t="shared" ref="D7487:D7488" si="531">HYPERLINK("https://12go.asia/en/travel/Rabat-Sale-Airport/Nador-Hotel-Transfer", "12Go Link")</f>
        <v>12Go Link</v>
      </c>
      <c r="E7487" s="3" t="s">
        <v>3196</v>
      </c>
      <c r="K7487" s="5"/>
    </row>
    <row r="7488">
      <c r="A7488" s="3" t="s">
        <v>7516</v>
      </c>
      <c r="B7488" s="3" t="s">
        <v>7578</v>
      </c>
      <c r="C7488" s="3" t="s">
        <v>7600</v>
      </c>
      <c r="D7488" s="4" t="str">
        <f t="shared" si="531"/>
        <v>12Go Link</v>
      </c>
      <c r="E7488" s="3" t="s">
        <v>7515</v>
      </c>
      <c r="K7488" s="5"/>
    </row>
    <row r="7489">
      <c r="A7489" s="3" t="s">
        <v>7516</v>
      </c>
      <c r="B7489" s="3" t="s">
        <v>7516</v>
      </c>
      <c r="C7489" s="3" t="s">
        <v>7601</v>
      </c>
      <c r="D7489" s="4" t="str">
        <f t="shared" ref="D7489:D7490" si="532">HYPERLINK("https://12go.asia/en/travel/Rabat-Hotel-Transfer/Rabat-Sale-Airport", "12Go Link")</f>
        <v>12Go Link</v>
      </c>
      <c r="E7489" s="3" t="s">
        <v>3196</v>
      </c>
      <c r="K7489" s="5"/>
    </row>
    <row r="7490">
      <c r="A7490" s="3" t="s">
        <v>7516</v>
      </c>
      <c r="B7490" s="3" t="s">
        <v>7516</v>
      </c>
      <c r="C7490" s="3" t="s">
        <v>7601</v>
      </c>
      <c r="D7490" s="4" t="str">
        <f t="shared" si="532"/>
        <v>12Go Link</v>
      </c>
      <c r="E7490" s="3" t="s">
        <v>7515</v>
      </c>
      <c r="K7490" s="5"/>
    </row>
    <row r="7491">
      <c r="A7491" s="3" t="s">
        <v>7516</v>
      </c>
      <c r="B7491" s="3" t="s">
        <v>7516</v>
      </c>
      <c r="C7491" s="3" t="s">
        <v>7602</v>
      </c>
      <c r="D7491" s="4" t="str">
        <f t="shared" ref="D7491:D7492" si="533">HYPERLINK("https://12go.asia/en/travel/Rabat-Sale-Airport/Rabat-Hotel-Transfer", "12Go Link")</f>
        <v>12Go Link</v>
      </c>
      <c r="E7491" s="3" t="s">
        <v>3196</v>
      </c>
      <c r="K7491" s="5"/>
    </row>
    <row r="7492">
      <c r="A7492" s="3" t="s">
        <v>7516</v>
      </c>
      <c r="B7492" s="3" t="s">
        <v>7516</v>
      </c>
      <c r="C7492" s="3" t="s">
        <v>7602</v>
      </c>
      <c r="D7492" s="4" t="str">
        <f t="shared" si="533"/>
        <v>12Go Link</v>
      </c>
      <c r="E7492" s="3" t="s">
        <v>7515</v>
      </c>
      <c r="K7492" s="5"/>
    </row>
    <row r="7493">
      <c r="A7493" s="3" t="s">
        <v>7516</v>
      </c>
      <c r="B7493" s="3" t="s">
        <v>7603</v>
      </c>
      <c r="C7493" s="3" t="s">
        <v>7604</v>
      </c>
      <c r="D7493" s="4" t="str">
        <f t="shared" ref="D7493:D7494" si="534">HYPERLINK("https://12go.asia/en/travel/Rabat-Sale-Airport/Safi-Hotel-Transfer", "12Go Link")</f>
        <v>12Go Link</v>
      </c>
      <c r="E7493" s="3" t="s">
        <v>3196</v>
      </c>
      <c r="K7493" s="5"/>
    </row>
    <row r="7494">
      <c r="A7494" s="3" t="s">
        <v>7516</v>
      </c>
      <c r="B7494" s="3" t="s">
        <v>7603</v>
      </c>
      <c r="C7494" s="3" t="s">
        <v>7604</v>
      </c>
      <c r="D7494" s="4" t="str">
        <f t="shared" si="534"/>
        <v>12Go Link</v>
      </c>
      <c r="E7494" s="3" t="s">
        <v>7515</v>
      </c>
      <c r="K7494" s="5"/>
    </row>
    <row r="7495">
      <c r="A7495" s="3" t="s">
        <v>7516</v>
      </c>
      <c r="B7495" s="3" t="s">
        <v>7545</v>
      </c>
      <c r="C7495" s="3" t="s">
        <v>7605</v>
      </c>
      <c r="D7495" s="4" t="str">
        <f t="shared" ref="D7495:D7496" si="535">HYPERLINK("https://12go.asia/en/travel/Rabat-Sale-Airport/Sale-Hotel-Transfer", "12Go Link")</f>
        <v>12Go Link</v>
      </c>
      <c r="E7495" s="3" t="s">
        <v>3196</v>
      </c>
      <c r="K7495" s="5"/>
    </row>
    <row r="7496">
      <c r="A7496" s="3" t="s">
        <v>7516</v>
      </c>
      <c r="B7496" s="3" t="s">
        <v>7545</v>
      </c>
      <c r="C7496" s="3" t="s">
        <v>7605</v>
      </c>
      <c r="D7496" s="4" t="str">
        <f t="shared" si="535"/>
        <v>12Go Link</v>
      </c>
      <c r="E7496" s="3" t="s">
        <v>7515</v>
      </c>
      <c r="K7496" s="5"/>
    </row>
    <row r="7497">
      <c r="A7497" s="3" t="s">
        <v>7516</v>
      </c>
      <c r="B7497" s="3" t="s">
        <v>7606</v>
      </c>
      <c r="C7497" s="3" t="s">
        <v>7607</v>
      </c>
      <c r="D7497" s="4" t="str">
        <f t="shared" ref="D7497:D7498" si="536">HYPERLINK("https://12go.asia/en/travel/Rabat-Sale-Airport/Sidi-Slimane-Hotel-Transfer", "12Go Link")</f>
        <v>12Go Link</v>
      </c>
      <c r="E7497" s="3" t="s">
        <v>3196</v>
      </c>
      <c r="K7497" s="5"/>
    </row>
    <row r="7498">
      <c r="A7498" s="3" t="s">
        <v>7516</v>
      </c>
      <c r="B7498" s="3" t="s">
        <v>7606</v>
      </c>
      <c r="C7498" s="3" t="s">
        <v>7607</v>
      </c>
      <c r="D7498" s="4" t="str">
        <f t="shared" si="536"/>
        <v>12Go Link</v>
      </c>
      <c r="E7498" s="3" t="s">
        <v>7515</v>
      </c>
      <c r="K7498" s="5"/>
    </row>
    <row r="7499">
      <c r="A7499" s="3" t="s">
        <v>7516</v>
      </c>
      <c r="B7499" s="3" t="s">
        <v>7608</v>
      </c>
      <c r="C7499" s="3" t="s">
        <v>7609</v>
      </c>
      <c r="D7499" s="4" t="str">
        <f t="shared" ref="D7499:D7500" si="537">HYPERLINK("https://12go.asia/en/travel/Rabat-Sale-Airport/Skhirat-Plage-Hotel-Transfer", "12Go Link")</f>
        <v>12Go Link</v>
      </c>
      <c r="E7499" s="3" t="s">
        <v>3196</v>
      </c>
      <c r="K7499" s="5"/>
    </row>
    <row r="7500">
      <c r="A7500" s="3" t="s">
        <v>7516</v>
      </c>
      <c r="B7500" s="3" t="s">
        <v>7608</v>
      </c>
      <c r="C7500" s="3" t="s">
        <v>7609</v>
      </c>
      <c r="D7500" s="4" t="str">
        <f t="shared" si="537"/>
        <v>12Go Link</v>
      </c>
      <c r="E7500" s="3" t="s">
        <v>7515</v>
      </c>
      <c r="K7500" s="5"/>
    </row>
    <row r="7501">
      <c r="A7501" s="3" t="s">
        <v>7516</v>
      </c>
      <c r="B7501" s="3" t="s">
        <v>7547</v>
      </c>
      <c r="C7501" s="3" t="s">
        <v>7610</v>
      </c>
      <c r="D7501" s="4" t="str">
        <f t="shared" ref="D7501:D7502" si="538">HYPERLINK("https://12go.asia/en/travel/Rabat-Sale-Airport/Tangier-Hotel-Transfer", "12Go Link")</f>
        <v>12Go Link</v>
      </c>
      <c r="E7501" s="3" t="s">
        <v>3196</v>
      </c>
      <c r="K7501" s="5"/>
    </row>
    <row r="7502">
      <c r="A7502" s="3" t="s">
        <v>7516</v>
      </c>
      <c r="B7502" s="3" t="s">
        <v>7547</v>
      </c>
      <c r="C7502" s="3" t="s">
        <v>7610</v>
      </c>
      <c r="D7502" s="4" t="str">
        <f t="shared" si="538"/>
        <v>12Go Link</v>
      </c>
      <c r="E7502" s="3" t="s">
        <v>7515</v>
      </c>
      <c r="K7502" s="5"/>
    </row>
    <row r="7503">
      <c r="A7503" s="3" t="s">
        <v>7516</v>
      </c>
      <c r="B7503" s="3" t="s">
        <v>7611</v>
      </c>
      <c r="C7503" s="3" t="s">
        <v>7612</v>
      </c>
      <c r="D7503" s="4" t="str">
        <f t="shared" ref="D7503:D7504" si="539">HYPERLINK("https://12go.asia/en/travel/Rabat-Sale-Airport/Taza-Hotel-Transfer", "12Go Link")</f>
        <v>12Go Link</v>
      </c>
      <c r="E7503" s="3" t="s">
        <v>3196</v>
      </c>
      <c r="K7503" s="5"/>
    </row>
    <row r="7504">
      <c r="A7504" s="3" t="s">
        <v>7516</v>
      </c>
      <c r="B7504" s="3" t="s">
        <v>7611</v>
      </c>
      <c r="C7504" s="3" t="s">
        <v>7612</v>
      </c>
      <c r="D7504" s="4" t="str">
        <f t="shared" si="539"/>
        <v>12Go Link</v>
      </c>
      <c r="E7504" s="3" t="s">
        <v>7515</v>
      </c>
      <c r="K7504" s="5"/>
    </row>
    <row r="7505">
      <c r="A7505" s="3" t="s">
        <v>7516</v>
      </c>
      <c r="B7505" s="3" t="s">
        <v>7549</v>
      </c>
      <c r="C7505" s="3" t="s">
        <v>7613</v>
      </c>
      <c r="D7505" s="4" t="str">
        <f t="shared" ref="D7505:D7506" si="540">HYPERLINK("https://12go.asia/en/travel/Rabat-Sale-Airport/Temara-Hotel-Transfer", "12Go Link")</f>
        <v>12Go Link</v>
      </c>
      <c r="E7505" s="3" t="s">
        <v>3196</v>
      </c>
      <c r="K7505" s="5"/>
    </row>
    <row r="7506">
      <c r="A7506" s="3" t="s">
        <v>7516</v>
      </c>
      <c r="B7506" s="3" t="s">
        <v>7549</v>
      </c>
      <c r="C7506" s="3" t="s">
        <v>7613</v>
      </c>
      <c r="D7506" s="4" t="str">
        <f t="shared" si="540"/>
        <v>12Go Link</v>
      </c>
      <c r="E7506" s="3" t="s">
        <v>7515</v>
      </c>
      <c r="K7506" s="5"/>
    </row>
    <row r="7507">
      <c r="A7507" s="3" t="s">
        <v>7516</v>
      </c>
      <c r="B7507" s="3" t="s">
        <v>7614</v>
      </c>
      <c r="C7507" s="3" t="s">
        <v>7615</v>
      </c>
      <c r="D7507" s="4" t="str">
        <f t="shared" ref="D7507:D7508" si="541">HYPERLINK("https://12go.asia/en/travel/Rabat-Sale-Airport/Tetouan-Hotel-Transfer", "12Go Link")</f>
        <v>12Go Link</v>
      </c>
      <c r="E7507" s="3" t="s">
        <v>3196</v>
      </c>
      <c r="K7507" s="5"/>
    </row>
    <row r="7508">
      <c r="A7508" s="3" t="s">
        <v>7516</v>
      </c>
      <c r="B7508" s="3" t="s">
        <v>7614</v>
      </c>
      <c r="C7508" s="3" t="s">
        <v>7615</v>
      </c>
      <c r="D7508" s="4" t="str">
        <f t="shared" si="541"/>
        <v>12Go Link</v>
      </c>
      <c r="E7508" s="3" t="s">
        <v>7515</v>
      </c>
      <c r="K7508" s="5"/>
    </row>
    <row r="7509">
      <c r="A7509" s="3" t="s">
        <v>7603</v>
      </c>
      <c r="B7509" s="3" t="s">
        <v>7516</v>
      </c>
      <c r="C7509" s="3" t="s">
        <v>7616</v>
      </c>
      <c r="D7509" s="4" t="str">
        <f t="shared" ref="D7509:D7510" si="542">HYPERLINK("https://12go.asia/en/travel/Safi-Hotel-Transfer/Rabat-Sale-Airport", "12Go Link")</f>
        <v>12Go Link</v>
      </c>
      <c r="E7509" s="3" t="s">
        <v>3196</v>
      </c>
      <c r="K7509" s="5"/>
    </row>
    <row r="7510">
      <c r="A7510" s="3" t="s">
        <v>7603</v>
      </c>
      <c r="B7510" s="3" t="s">
        <v>7516</v>
      </c>
      <c r="C7510" s="3" t="s">
        <v>7616</v>
      </c>
      <c r="D7510" s="4" t="str">
        <f t="shared" si="542"/>
        <v>12Go Link</v>
      </c>
      <c r="E7510" s="3" t="s">
        <v>7515</v>
      </c>
      <c r="K7510" s="5"/>
    </row>
    <row r="7511">
      <c r="A7511" s="3" t="s">
        <v>7545</v>
      </c>
      <c r="B7511" s="3" t="s">
        <v>7513</v>
      </c>
      <c r="C7511" s="3" t="s">
        <v>7617</v>
      </c>
      <c r="D7511" s="4" t="str">
        <f t="shared" ref="D7511:D7512" si="543">HYPERLINK("https://12go.asia/en/travel/Sale-Hotel-Transfer/Mohammed-V-International-Airport", "12Go Link")</f>
        <v>12Go Link</v>
      </c>
      <c r="E7511" s="3" t="s">
        <v>3196</v>
      </c>
      <c r="K7511" s="5"/>
    </row>
    <row r="7512">
      <c r="A7512" s="3" t="s">
        <v>7545</v>
      </c>
      <c r="B7512" s="3" t="s">
        <v>7513</v>
      </c>
      <c r="C7512" s="3" t="s">
        <v>7617</v>
      </c>
      <c r="D7512" s="4" t="str">
        <f t="shared" si="543"/>
        <v>12Go Link</v>
      </c>
      <c r="E7512" s="3" t="s">
        <v>7515</v>
      </c>
      <c r="K7512" s="5"/>
    </row>
    <row r="7513">
      <c r="A7513" s="3" t="s">
        <v>7545</v>
      </c>
      <c r="B7513" s="3" t="s">
        <v>7516</v>
      </c>
      <c r="C7513" s="3" t="s">
        <v>7618</v>
      </c>
      <c r="D7513" s="4" t="str">
        <f t="shared" ref="D7513:D7514" si="544">HYPERLINK("https://12go.asia/en/travel/Sale-Hotel-Transfer/Rabat-Sale-Airport", "12Go Link")</f>
        <v>12Go Link</v>
      </c>
      <c r="E7513" s="3" t="s">
        <v>3196</v>
      </c>
      <c r="K7513" s="5"/>
    </row>
    <row r="7514">
      <c r="A7514" s="3" t="s">
        <v>7545</v>
      </c>
      <c r="B7514" s="3" t="s">
        <v>7516</v>
      </c>
      <c r="C7514" s="3" t="s">
        <v>7618</v>
      </c>
      <c r="D7514" s="4" t="str">
        <f t="shared" si="544"/>
        <v>12Go Link</v>
      </c>
      <c r="E7514" s="3" t="s">
        <v>7515</v>
      </c>
      <c r="K7514" s="5"/>
    </row>
    <row r="7515">
      <c r="A7515" s="3" t="s">
        <v>7606</v>
      </c>
      <c r="B7515" s="3" t="s">
        <v>7516</v>
      </c>
      <c r="C7515" s="3" t="s">
        <v>7619</v>
      </c>
      <c r="D7515" s="4" t="str">
        <f t="shared" ref="D7515:D7516" si="545">HYPERLINK("https://12go.asia/en/travel/Sidi-Slimane-Hotel-Transfer/Rabat-Sale-Airport", "12Go Link")</f>
        <v>12Go Link</v>
      </c>
      <c r="E7515" s="3" t="s">
        <v>3196</v>
      </c>
      <c r="K7515" s="5"/>
    </row>
    <row r="7516">
      <c r="A7516" s="3" t="s">
        <v>7606</v>
      </c>
      <c r="B7516" s="3" t="s">
        <v>7516</v>
      </c>
      <c r="C7516" s="3" t="s">
        <v>7619</v>
      </c>
      <c r="D7516" s="4" t="str">
        <f t="shared" si="545"/>
        <v>12Go Link</v>
      </c>
      <c r="E7516" s="3" t="s">
        <v>7515</v>
      </c>
      <c r="K7516" s="5"/>
    </row>
    <row r="7517">
      <c r="A7517" s="3" t="s">
        <v>7608</v>
      </c>
      <c r="B7517" s="3" t="s">
        <v>7516</v>
      </c>
      <c r="C7517" s="3" t="s">
        <v>7620</v>
      </c>
      <c r="D7517" s="4" t="str">
        <f t="shared" ref="D7517:D7518" si="546">HYPERLINK("https://12go.asia/en/travel/Skhirat-Plage-Hotel-Transfer/Rabat-Sale-Airport", "12Go Link")</f>
        <v>12Go Link</v>
      </c>
      <c r="E7517" s="3" t="s">
        <v>3196</v>
      </c>
      <c r="K7517" s="5"/>
    </row>
    <row r="7518">
      <c r="A7518" s="3" t="s">
        <v>7608</v>
      </c>
      <c r="B7518" s="3" t="s">
        <v>7516</v>
      </c>
      <c r="C7518" s="3" t="s">
        <v>7620</v>
      </c>
      <c r="D7518" s="4" t="str">
        <f t="shared" si="546"/>
        <v>12Go Link</v>
      </c>
      <c r="E7518" s="3" t="s">
        <v>7515</v>
      </c>
      <c r="K7518" s="5"/>
    </row>
    <row r="7519">
      <c r="A7519" s="3" t="s">
        <v>7547</v>
      </c>
      <c r="B7519" s="3" t="s">
        <v>7513</v>
      </c>
      <c r="C7519" s="3" t="s">
        <v>7621</v>
      </c>
      <c r="D7519" s="4" t="str">
        <f t="shared" ref="D7519:D7520" si="547">HYPERLINK("https://12go.asia/en/travel/Tangier-Hotel-Transfer/Mohammed-V-International-Airport", "12Go Link")</f>
        <v>12Go Link</v>
      </c>
      <c r="E7519" s="3" t="s">
        <v>3196</v>
      </c>
      <c r="K7519" s="5"/>
    </row>
    <row r="7520">
      <c r="A7520" s="3" t="s">
        <v>7547</v>
      </c>
      <c r="B7520" s="3" t="s">
        <v>7513</v>
      </c>
      <c r="C7520" s="3" t="s">
        <v>7621</v>
      </c>
      <c r="D7520" s="4" t="str">
        <f t="shared" si="547"/>
        <v>12Go Link</v>
      </c>
      <c r="E7520" s="3" t="s">
        <v>7515</v>
      </c>
      <c r="K7520" s="5"/>
    </row>
    <row r="7521">
      <c r="A7521" s="3" t="s">
        <v>7547</v>
      </c>
      <c r="B7521" s="3" t="s">
        <v>7516</v>
      </c>
      <c r="C7521" s="3" t="s">
        <v>7622</v>
      </c>
      <c r="D7521" s="4" t="str">
        <f t="shared" ref="D7521:D7522" si="548">HYPERLINK("https://12go.asia/en/travel/Tangier-Hotel-Transfer/Rabat-Sale-Airport", "12Go Link")</f>
        <v>12Go Link</v>
      </c>
      <c r="E7521" s="3" t="s">
        <v>3196</v>
      </c>
      <c r="K7521" s="5"/>
    </row>
    <row r="7522">
      <c r="A7522" s="3" t="s">
        <v>7547</v>
      </c>
      <c r="B7522" s="3" t="s">
        <v>7516</v>
      </c>
      <c r="C7522" s="3" t="s">
        <v>7622</v>
      </c>
      <c r="D7522" s="4" t="str">
        <f t="shared" si="548"/>
        <v>12Go Link</v>
      </c>
      <c r="E7522" s="3" t="s">
        <v>7515</v>
      </c>
      <c r="K7522" s="5"/>
    </row>
    <row r="7523">
      <c r="A7523" s="3" t="s">
        <v>7611</v>
      </c>
      <c r="B7523" s="3" t="s">
        <v>7516</v>
      </c>
      <c r="C7523" s="3" t="s">
        <v>7623</v>
      </c>
      <c r="D7523" s="4" t="str">
        <f t="shared" ref="D7523:D7524" si="549">HYPERLINK("https://12go.asia/en/travel/Taza-Hotel-Transfer/Rabat-Sale-Airport", "12Go Link")</f>
        <v>12Go Link</v>
      </c>
      <c r="E7523" s="3" t="s">
        <v>3196</v>
      </c>
      <c r="K7523" s="5"/>
    </row>
    <row r="7524">
      <c r="A7524" s="3" t="s">
        <v>7611</v>
      </c>
      <c r="B7524" s="3" t="s">
        <v>7516</v>
      </c>
      <c r="C7524" s="3" t="s">
        <v>7623</v>
      </c>
      <c r="D7524" s="4" t="str">
        <f t="shared" si="549"/>
        <v>12Go Link</v>
      </c>
      <c r="E7524" s="3" t="s">
        <v>7515</v>
      </c>
      <c r="K7524" s="5"/>
    </row>
    <row r="7525">
      <c r="A7525" s="3" t="s">
        <v>7549</v>
      </c>
      <c r="B7525" s="3" t="s">
        <v>7513</v>
      </c>
      <c r="C7525" s="3" t="s">
        <v>7624</v>
      </c>
      <c r="D7525" s="4" t="str">
        <f t="shared" ref="D7525:D7526" si="550">HYPERLINK("https://12go.asia/en/travel/Temara-Hotel-Transfer/Mohammed-V-International-Airport", "12Go Link")</f>
        <v>12Go Link</v>
      </c>
      <c r="E7525" s="3" t="s">
        <v>3196</v>
      </c>
      <c r="K7525" s="5"/>
    </row>
    <row r="7526">
      <c r="A7526" s="3" t="s">
        <v>7549</v>
      </c>
      <c r="B7526" s="3" t="s">
        <v>7513</v>
      </c>
      <c r="C7526" s="3" t="s">
        <v>7624</v>
      </c>
      <c r="D7526" s="4" t="str">
        <f t="shared" si="550"/>
        <v>12Go Link</v>
      </c>
      <c r="E7526" s="3" t="s">
        <v>7515</v>
      </c>
      <c r="K7526" s="5"/>
    </row>
    <row r="7527">
      <c r="A7527" s="3" t="s">
        <v>7549</v>
      </c>
      <c r="B7527" s="3" t="s">
        <v>7516</v>
      </c>
      <c r="C7527" s="3" t="s">
        <v>7625</v>
      </c>
      <c r="D7527" s="4" t="str">
        <f t="shared" ref="D7527:D7528" si="551">HYPERLINK("https://12go.asia/en/travel/Temara-Hotel-Transfer/Rabat-Sale-Airport", "12Go Link")</f>
        <v>12Go Link</v>
      </c>
      <c r="E7527" s="3" t="s">
        <v>3196</v>
      </c>
      <c r="K7527" s="5"/>
    </row>
    <row r="7528">
      <c r="A7528" s="3" t="s">
        <v>7549</v>
      </c>
      <c r="B7528" s="3" t="s">
        <v>7516</v>
      </c>
      <c r="C7528" s="3" t="s">
        <v>7625</v>
      </c>
      <c r="D7528" s="4" t="str">
        <f t="shared" si="551"/>
        <v>12Go Link</v>
      </c>
      <c r="E7528" s="3" t="s">
        <v>7515</v>
      </c>
      <c r="K7528" s="5"/>
    </row>
    <row r="7529">
      <c r="A7529" s="3" t="s">
        <v>7614</v>
      </c>
      <c r="B7529" s="3" t="s">
        <v>7516</v>
      </c>
      <c r="C7529" s="3" t="s">
        <v>7626</v>
      </c>
      <c r="D7529" s="4" t="str">
        <f t="shared" ref="D7529:D7530" si="552">HYPERLINK("https://12go.asia/en/travel/Tetouan-Hotel-Transfer/Rabat-Sale-Airport", "12Go Link")</f>
        <v>12Go Link</v>
      </c>
      <c r="E7529" s="3" t="s">
        <v>3196</v>
      </c>
      <c r="K7529" s="5"/>
    </row>
    <row r="7530">
      <c r="A7530" s="3" t="s">
        <v>7614</v>
      </c>
      <c r="B7530" s="3" t="s">
        <v>7516</v>
      </c>
      <c r="C7530" s="3" t="s">
        <v>7626</v>
      </c>
      <c r="D7530" s="4" t="str">
        <f t="shared" si="552"/>
        <v>12Go Link</v>
      </c>
      <c r="E7530" s="3" t="s">
        <v>7515</v>
      </c>
      <c r="K7530" s="5"/>
    </row>
    <row r="7531">
      <c r="A7531" s="3" t="s">
        <v>7627</v>
      </c>
      <c r="B7531" s="3" t="s">
        <v>5928</v>
      </c>
      <c r="C7531" s="3" t="s">
        <v>7628</v>
      </c>
      <c r="D7531" s="4" t="str">
        <f>HYPERLINK("https://12go.asia/en/travel/bhaktapur/don-mueang-airport", "12Go Link")</f>
        <v>12Go Link</v>
      </c>
      <c r="E7531" s="3" t="s">
        <v>3568</v>
      </c>
      <c r="K7531" s="5"/>
    </row>
    <row r="7532">
      <c r="A7532" s="3" t="s">
        <v>7627</v>
      </c>
      <c r="B7532" s="3" t="s">
        <v>5930</v>
      </c>
      <c r="C7532" s="3" t="s">
        <v>7629</v>
      </c>
      <c r="D7532" s="4" t="str">
        <f>HYPERLINK("https://12go.asia/en/travel/bhaktapur/rangsit", "12Go Link")</f>
        <v>12Go Link</v>
      </c>
      <c r="E7532" s="3" t="s">
        <v>3568</v>
      </c>
      <c r="K7532" s="5"/>
    </row>
    <row r="7533">
      <c r="A7533" s="3" t="s">
        <v>7630</v>
      </c>
      <c r="B7533" s="3" t="s">
        <v>7631</v>
      </c>
      <c r="C7533" s="3" t="s">
        <v>7632</v>
      </c>
      <c r="D7533" s="4" t="str">
        <f>HYPERLINK("https://12go.asia/en/travel/Hamer-Street-Ferry-Terminal/Tryphena-Wharf-Ferry-Terminal", "12Go Link")</f>
        <v>12Go Link</v>
      </c>
      <c r="E7533" s="3" t="s">
        <v>6878</v>
      </c>
      <c r="K7533" s="5"/>
    </row>
    <row r="7534">
      <c r="A7534" s="3" t="s">
        <v>7630</v>
      </c>
      <c r="B7534" s="3" t="s">
        <v>7633</v>
      </c>
      <c r="C7534" s="3" t="s">
        <v>7634</v>
      </c>
      <c r="D7534" s="4" t="str">
        <f>HYPERLINK("https://12go.asia/en/travel/Viaduct-Harbour/Matiatia-Ferry-Terminal", "12Go Link")</f>
        <v>12Go Link</v>
      </c>
      <c r="E7534" s="3" t="s">
        <v>6878</v>
      </c>
      <c r="K7534" s="5"/>
    </row>
    <row r="7535">
      <c r="A7535" s="3" t="s">
        <v>7631</v>
      </c>
      <c r="B7535" s="3" t="s">
        <v>7630</v>
      </c>
      <c r="C7535" s="3" t="s">
        <v>7635</v>
      </c>
      <c r="D7535" s="4" t="str">
        <f>HYPERLINK("https://12go.asia/en/travel/Tryphena-Wharf-Ferry-Terminal/Hamer-Street-Ferry-Terminal", "12Go Link")</f>
        <v>12Go Link</v>
      </c>
      <c r="E7535" s="3" t="s">
        <v>6878</v>
      </c>
      <c r="K7535" s="5"/>
    </row>
    <row r="7536">
      <c r="A7536" s="3" t="s">
        <v>7633</v>
      </c>
      <c r="B7536" s="3" t="s">
        <v>7630</v>
      </c>
      <c r="C7536" s="3" t="s">
        <v>7636</v>
      </c>
      <c r="D7536" s="4" t="str">
        <f>HYPERLINK("https://12go.asia/en/travel/Matiatia-Ferry-Terminal/Viaduct-Harbour", "12Go Link")</f>
        <v>12Go Link</v>
      </c>
      <c r="E7536" s="3" t="s">
        <v>6878</v>
      </c>
      <c r="K7536" s="5"/>
    </row>
    <row r="7537">
      <c r="A7537" s="3" t="s">
        <v>7637</v>
      </c>
      <c r="B7537" s="3" t="s">
        <v>7638</v>
      </c>
      <c r="C7537" s="3" t="s">
        <v>7639</v>
      </c>
      <c r="D7537" s="4" t="str">
        <f>HYPERLINK("https://12go.asia/en/travel/Robinsons-Antipolo/San-Jose-de-Buenavista-Bus-Terminal", "12Go Link")</f>
        <v>12Go Link</v>
      </c>
      <c r="E7537" s="3" t="s">
        <v>7640</v>
      </c>
      <c r="K7537" s="5"/>
    </row>
    <row r="7538">
      <c r="A7538" s="3" t="s">
        <v>7637</v>
      </c>
      <c r="B7538" s="3" t="s">
        <v>7641</v>
      </c>
      <c r="C7538" s="3" t="s">
        <v>7642</v>
      </c>
      <c r="D7538" s="4" t="str">
        <f>HYPERLINK("https://12go.asia/en/travel/Robinsons-Antipolo/Roxas-City-Integrated-Terminal", "12Go Link")</f>
        <v>12Go Link</v>
      </c>
      <c r="E7538" s="3" t="s">
        <v>7640</v>
      </c>
      <c r="K7538" s="5"/>
    </row>
    <row r="7539">
      <c r="A7539" s="3" t="s">
        <v>7637</v>
      </c>
      <c r="B7539" s="3" t="s">
        <v>7643</v>
      </c>
      <c r="C7539" s="3" t="s">
        <v>7644</v>
      </c>
      <c r="D7539" s="4" t="str">
        <f>HYPERLINK("https://12go.asia/en/travel/Robinsons-Antipolo/Caticlan-Jetty-Port", "12Go Link")</f>
        <v>12Go Link</v>
      </c>
      <c r="E7539" s="3" t="s">
        <v>7640</v>
      </c>
      <c r="K7539" s="5"/>
    </row>
    <row r="7540">
      <c r="A7540" s="3" t="s">
        <v>7637</v>
      </c>
      <c r="B7540" s="3" t="s">
        <v>7645</v>
      </c>
      <c r="C7540" s="3" t="s">
        <v>7646</v>
      </c>
      <c r="D7540" s="4" t="str">
        <f>HYPERLINK("https://12go.asia/en/travel/Robinsons-Antipolo/Estancia-Bus-Terminal", "12Go Link")</f>
        <v>12Go Link</v>
      </c>
      <c r="E7540" s="3" t="s">
        <v>7640</v>
      </c>
      <c r="K7540" s="5"/>
    </row>
    <row r="7541">
      <c r="A7541" s="3" t="s">
        <v>7637</v>
      </c>
      <c r="B7541" s="3" t="s">
        <v>7645</v>
      </c>
      <c r="C7541" s="3" t="s">
        <v>7647</v>
      </c>
      <c r="D7541" s="4" t="str">
        <f>HYPERLINK("https://12go.asia/en/travel/Robinsons-Antipolo/Tagbak-Bus-Terminal", "12Go Link")</f>
        <v>12Go Link</v>
      </c>
      <c r="E7541" s="3" t="s">
        <v>7640</v>
      </c>
      <c r="K7541" s="5"/>
    </row>
    <row r="7542">
      <c r="A7542" s="3" t="s">
        <v>7648</v>
      </c>
      <c r="B7542" s="3" t="s">
        <v>7649</v>
      </c>
      <c r="C7542" s="3" t="s">
        <v>7650</v>
      </c>
      <c r="D7542" s="4" t="str">
        <f>HYPERLINK("https://12go.asia/en/travel/tagbilaran-city-seaport/oroquieta-port", "12Go Link")</f>
        <v>12Go Link</v>
      </c>
      <c r="E7542" s="3" t="s">
        <v>1867</v>
      </c>
      <c r="K7542" s="5"/>
    </row>
    <row r="7543">
      <c r="A7543" s="3" t="s">
        <v>7651</v>
      </c>
      <c r="B7543" s="3" t="s">
        <v>7652</v>
      </c>
      <c r="C7543" s="3" t="s">
        <v>7653</v>
      </c>
      <c r="D7543" s="4" t="str">
        <f>HYPERLINK("https://12go.asia/en/travel/cavite/macabalan", "12Go Link")</f>
        <v>12Go Link</v>
      </c>
      <c r="E7543" s="3" t="s">
        <v>1867</v>
      </c>
      <c r="K7543" s="5"/>
    </row>
    <row r="7544">
      <c r="A7544" s="3" t="s">
        <v>7651</v>
      </c>
      <c r="B7544" s="3" t="s">
        <v>7654</v>
      </c>
      <c r="C7544" s="3" t="s">
        <v>7655</v>
      </c>
      <c r="D7544" s="4" t="str">
        <f>HYPERLINK("https://12go.asia/en/travel/cavite/western-visayas", "12Go Link")</f>
        <v>12Go Link</v>
      </c>
      <c r="E7544" s="3" t="s">
        <v>1867</v>
      </c>
      <c r="K7544" s="5"/>
    </row>
    <row r="7545">
      <c r="A7545" s="3" t="s">
        <v>7651</v>
      </c>
      <c r="B7545" s="3" t="s">
        <v>7656</v>
      </c>
      <c r="C7545" s="3" t="s">
        <v>7657</v>
      </c>
      <c r="D7545" s="4" t="str">
        <f>HYPERLINK("https://12go.asia/en/travel/cavite/zamboanga", "12Go Link")</f>
        <v>12Go Link</v>
      </c>
      <c r="E7545" s="3" t="s">
        <v>1867</v>
      </c>
      <c r="K7545" s="5"/>
    </row>
    <row r="7546">
      <c r="A7546" s="3" t="s">
        <v>7658</v>
      </c>
      <c r="B7546" s="3" t="s">
        <v>7648</v>
      </c>
      <c r="C7546" s="3" t="s">
        <v>7659</v>
      </c>
      <c r="D7546" s="4" t="str">
        <f>HYPERLINK("https://12go.asia/en/travel/cebu-starlite-ferries/tagbilaran-city-seaport", "12Go Link")</f>
        <v>12Go Link</v>
      </c>
      <c r="E7546" s="3" t="s">
        <v>1867</v>
      </c>
      <c r="K7546" s="5"/>
    </row>
    <row r="7547">
      <c r="A7547" s="3" t="s">
        <v>7660</v>
      </c>
      <c r="B7547" s="3" t="s">
        <v>7660</v>
      </c>
      <c r="C7547" s="3" t="s">
        <v>7661</v>
      </c>
      <c r="D7547" s="4" t="str">
        <f>HYPERLINK("https://12go.asia/en/travel/Busuanga-Airport/Calauit-Island-Safari", "12Go Link")</f>
        <v>12Go Link</v>
      </c>
      <c r="E7547" s="3" t="s">
        <v>226</v>
      </c>
      <c r="K7547" s="5"/>
    </row>
    <row r="7548">
      <c r="A7548" s="3" t="s">
        <v>7660</v>
      </c>
      <c r="B7548" s="3" t="s">
        <v>7660</v>
      </c>
      <c r="C7548" s="3" t="s">
        <v>7662</v>
      </c>
      <c r="D7548" s="4" t="str">
        <f>HYPERLINK("https://12go.asia/en/travel/Busuanga-Airport/Coron-Town", "12Go Link")</f>
        <v>12Go Link</v>
      </c>
      <c r="E7548" s="3" t="s">
        <v>226</v>
      </c>
      <c r="K7548" s="5"/>
    </row>
    <row r="7549">
      <c r="A7549" s="3" t="s">
        <v>7660</v>
      </c>
      <c r="B7549" s="3" t="s">
        <v>7660</v>
      </c>
      <c r="C7549" s="3" t="s">
        <v>7663</v>
      </c>
      <c r="D7549" s="4" t="str">
        <f>HYPERLINK("https://12go.asia/en/travel/Busuanga-Airport/Pearl-Bay", "12Go Link")</f>
        <v>12Go Link</v>
      </c>
      <c r="E7549" s="3" t="s">
        <v>226</v>
      </c>
      <c r="K7549" s="5"/>
    </row>
    <row r="7550">
      <c r="A7550" s="3" t="s">
        <v>7660</v>
      </c>
      <c r="B7550" s="3" t="s">
        <v>7660</v>
      </c>
      <c r="C7550" s="3" t="s">
        <v>7664</v>
      </c>
      <c r="D7550" s="4" t="str">
        <f>HYPERLINK("https://12go.asia/en/travel/Coron/Calauit-Island-Safari", "12Go Link")</f>
        <v>12Go Link</v>
      </c>
      <c r="E7550" s="3" t="s">
        <v>226</v>
      </c>
      <c r="K7550" s="5"/>
    </row>
    <row r="7551">
      <c r="A7551" s="3" t="s">
        <v>7660</v>
      </c>
      <c r="B7551" s="3" t="s">
        <v>7660</v>
      </c>
      <c r="C7551" s="3" t="s">
        <v>7665</v>
      </c>
      <c r="D7551" s="4" t="str">
        <f>HYPERLINK("https://12go.asia/en/travel/Coron/Maquinit-Hot-Spring", "12Go Link")</f>
        <v>12Go Link</v>
      </c>
      <c r="E7551" s="3" t="s">
        <v>226</v>
      </c>
      <c r="K7551" s="5"/>
    </row>
    <row r="7552">
      <c r="A7552" s="3" t="s">
        <v>7660</v>
      </c>
      <c r="B7552" s="3" t="s">
        <v>7660</v>
      </c>
      <c r="C7552" s="3" t="s">
        <v>7666</v>
      </c>
      <c r="D7552" s="4" t="str">
        <f>HYPERLINK("https://12go.asia/en/travel/Coron-Town/Coron-Town", "12Go Link")</f>
        <v>12Go Link</v>
      </c>
      <c r="E7552" s="3" t="s">
        <v>226</v>
      </c>
      <c r="K7552" s="5"/>
    </row>
    <row r="7553">
      <c r="A7553" s="3" t="s">
        <v>7660</v>
      </c>
      <c r="B7553" s="3" t="s">
        <v>7660</v>
      </c>
      <c r="C7553" s="3" t="s">
        <v>7667</v>
      </c>
      <c r="D7553" s="4" t="str">
        <f>HYPERLINK("https://12go.asia/en/travel/Coron-Town/Lualhati-Park", "12Go Link")</f>
        <v>12Go Link</v>
      </c>
      <c r="E7553" s="3" t="s">
        <v>226</v>
      </c>
      <c r="K7553" s="5"/>
    </row>
    <row r="7554">
      <c r="A7554" s="3" t="s">
        <v>7660</v>
      </c>
      <c r="B7554" s="3" t="s">
        <v>7668</v>
      </c>
      <c r="C7554" s="3" t="s">
        <v>7669</v>
      </c>
      <c r="D7554" s="4" t="str">
        <f t="shared" ref="D7554:D7555" si="553">HYPERLINK("https://12go.asia/en/travel/Coron-Port/Baseco-Port", "12Go Link")</f>
        <v>12Go Link</v>
      </c>
      <c r="E7554" s="3" t="s">
        <v>7670</v>
      </c>
      <c r="K7554" s="5"/>
    </row>
    <row r="7555">
      <c r="A7555" s="3" t="s">
        <v>7660</v>
      </c>
      <c r="B7555" s="3" t="s">
        <v>7668</v>
      </c>
      <c r="C7555" s="3" t="s">
        <v>7669</v>
      </c>
      <c r="D7555" s="4" t="str">
        <f t="shared" si="553"/>
        <v>12Go Link</v>
      </c>
      <c r="E7555" s="3" t="s">
        <v>7671</v>
      </c>
      <c r="K7555" s="5"/>
    </row>
    <row r="7556">
      <c r="A7556" s="3" t="s">
        <v>7672</v>
      </c>
      <c r="B7556" s="3" t="s">
        <v>7673</v>
      </c>
      <c r="C7556" s="3" t="s">
        <v>7674</v>
      </c>
      <c r="D7556" s="4" t="str">
        <f>HYPERLINK("https://12go.asia/en/travel/dapitan/mandaue", "12Go Link")</f>
        <v>12Go Link</v>
      </c>
      <c r="E7556" s="3" t="s">
        <v>1867</v>
      </c>
      <c r="K7556" s="5"/>
    </row>
    <row r="7557">
      <c r="A7557" s="3" t="s">
        <v>7645</v>
      </c>
      <c r="B7557" s="3" t="s">
        <v>7637</v>
      </c>
      <c r="C7557" s="3" t="s">
        <v>7675</v>
      </c>
      <c r="D7557" s="4" t="str">
        <f>HYPERLINK("https://12go.asia/en/travel/Tagbak-Bus-Terminal/Robinsons-Antipolo", "12Go Link")</f>
        <v>12Go Link</v>
      </c>
      <c r="E7557" s="3" t="s">
        <v>7640</v>
      </c>
      <c r="K7557" s="5"/>
    </row>
    <row r="7558">
      <c r="A7558" s="3" t="s">
        <v>7668</v>
      </c>
      <c r="B7558" s="3" t="s">
        <v>7660</v>
      </c>
      <c r="C7558" s="3" t="s">
        <v>7676</v>
      </c>
      <c r="D7558" s="4" t="str">
        <f t="shared" ref="D7558:D7559" si="554">HYPERLINK("https://12go.asia/en/travel/Baseco-Port/Coron-Port", "12Go Link")</f>
        <v>12Go Link</v>
      </c>
      <c r="E7558" s="3" t="s">
        <v>7670</v>
      </c>
      <c r="K7558" s="5"/>
    </row>
    <row r="7559">
      <c r="A7559" s="3" t="s">
        <v>7668</v>
      </c>
      <c r="B7559" s="3" t="s">
        <v>7660</v>
      </c>
      <c r="C7559" s="3" t="s">
        <v>7676</v>
      </c>
      <c r="D7559" s="4" t="str">
        <f t="shared" si="554"/>
        <v>12Go Link</v>
      </c>
      <c r="E7559" s="3" t="s">
        <v>7671</v>
      </c>
      <c r="K7559" s="5"/>
    </row>
    <row r="7560">
      <c r="A7560" s="3" t="s">
        <v>7668</v>
      </c>
      <c r="B7560" s="3" t="s">
        <v>7677</v>
      </c>
      <c r="C7560" s="3" t="s">
        <v>7678</v>
      </c>
      <c r="D7560" s="4" t="str">
        <f t="shared" ref="D7560:D7561" si="555">HYPERLINK("https://12go.asia/en/travel/Baseco-Port/El-Nido-Ferry-Terminal", "12Go Link")</f>
        <v>12Go Link</v>
      </c>
      <c r="E7560" s="3" t="s">
        <v>7670</v>
      </c>
      <c r="K7560" s="5"/>
    </row>
    <row r="7561">
      <c r="A7561" s="3" t="s">
        <v>7668</v>
      </c>
      <c r="B7561" s="3" t="s">
        <v>7677</v>
      </c>
      <c r="C7561" s="3" t="s">
        <v>7678</v>
      </c>
      <c r="D7561" s="4" t="str">
        <f t="shared" si="555"/>
        <v>12Go Link</v>
      </c>
      <c r="E7561" s="3" t="s">
        <v>7671</v>
      </c>
      <c r="K7561" s="5"/>
    </row>
    <row r="7562">
      <c r="A7562" s="3" t="s">
        <v>7668</v>
      </c>
      <c r="B7562" s="3" t="s">
        <v>7679</v>
      </c>
      <c r="C7562" s="3" t="s">
        <v>7680</v>
      </c>
      <c r="D7562" s="4" t="str">
        <f>HYPERLINK("https://12go.asia/en/travel/Cubao-Five-Star-Terminal/Licab", "12Go Link")</f>
        <v>12Go Link</v>
      </c>
      <c r="E7562" s="3" t="s">
        <v>7681</v>
      </c>
      <c r="K7562" s="5"/>
    </row>
    <row r="7563">
      <c r="A7563" s="3" t="s">
        <v>7682</v>
      </c>
      <c r="B7563" s="3" t="s">
        <v>7683</v>
      </c>
      <c r="C7563" s="3" t="s">
        <v>7684</v>
      </c>
      <c r="D7563" s="4" t="str">
        <f t="shared" ref="D7563:D7564" si="556">HYPERLINK("https://12go.asia/en/travel/Ahangama/Dambulla", "12Go Link")</f>
        <v>12Go Link</v>
      </c>
      <c r="E7563" s="3" t="s">
        <v>3203</v>
      </c>
      <c r="K7563" s="5"/>
    </row>
    <row r="7564">
      <c r="A7564" s="3" t="s">
        <v>7682</v>
      </c>
      <c r="B7564" s="3" t="s">
        <v>7683</v>
      </c>
      <c r="C7564" s="3" t="s">
        <v>7684</v>
      </c>
      <c r="D7564" s="4" t="str">
        <f t="shared" si="556"/>
        <v>12Go Link</v>
      </c>
      <c r="E7564" s="3" t="s">
        <v>3197</v>
      </c>
      <c r="K7564" s="5"/>
    </row>
    <row r="7565">
      <c r="A7565" s="3" t="s">
        <v>7682</v>
      </c>
      <c r="B7565" s="3" t="s">
        <v>7685</v>
      </c>
      <c r="C7565" s="3" t="s">
        <v>7686</v>
      </c>
      <c r="D7565" s="4" t="str">
        <f t="shared" ref="D7565:D7566" si="557">HYPERLINK("https://12go.asia/en/travel/Ahangama/Ella", "12Go Link")</f>
        <v>12Go Link</v>
      </c>
      <c r="E7565" s="3" t="s">
        <v>3203</v>
      </c>
      <c r="K7565" s="5"/>
    </row>
    <row r="7566">
      <c r="A7566" s="3" t="s">
        <v>7682</v>
      </c>
      <c r="B7566" s="3" t="s">
        <v>7685</v>
      </c>
      <c r="C7566" s="3" t="s">
        <v>7686</v>
      </c>
      <c r="D7566" s="4" t="str">
        <f t="shared" si="557"/>
        <v>12Go Link</v>
      </c>
      <c r="E7566" s="3" t="s">
        <v>3197</v>
      </c>
      <c r="K7566" s="5"/>
    </row>
    <row r="7567">
      <c r="A7567" s="3" t="s">
        <v>7682</v>
      </c>
      <c r="B7567" s="3" t="s">
        <v>7687</v>
      </c>
      <c r="C7567" s="3" t="s">
        <v>7688</v>
      </c>
      <c r="D7567" s="4" t="str">
        <f t="shared" ref="D7567:D7568" si="558">HYPERLINK("https://12go.asia/en/travel/Ahangama/Kandy", "12Go Link")</f>
        <v>12Go Link</v>
      </c>
      <c r="E7567" s="3" t="s">
        <v>3203</v>
      </c>
      <c r="K7567" s="5"/>
    </row>
    <row r="7568">
      <c r="A7568" s="3" t="s">
        <v>7682</v>
      </c>
      <c r="B7568" s="3" t="s">
        <v>7687</v>
      </c>
      <c r="C7568" s="3" t="s">
        <v>7688</v>
      </c>
      <c r="D7568" s="4" t="str">
        <f t="shared" si="558"/>
        <v>12Go Link</v>
      </c>
      <c r="E7568" s="3" t="s">
        <v>3197</v>
      </c>
      <c r="K7568" s="5"/>
    </row>
    <row r="7569">
      <c r="A7569" s="3" t="s">
        <v>7682</v>
      </c>
      <c r="B7569" s="3" t="s">
        <v>7689</v>
      </c>
      <c r="C7569" s="3" t="s">
        <v>7690</v>
      </c>
      <c r="D7569" s="4" t="str">
        <f t="shared" ref="D7569:D7570" si="559">HYPERLINK("https://12go.asia/en/travel/Ahangama/Negombo", "12Go Link")</f>
        <v>12Go Link</v>
      </c>
      <c r="E7569" s="3" t="s">
        <v>3203</v>
      </c>
      <c r="K7569" s="5"/>
    </row>
    <row r="7570">
      <c r="A7570" s="3" t="s">
        <v>7682</v>
      </c>
      <c r="B7570" s="3" t="s">
        <v>7689</v>
      </c>
      <c r="C7570" s="3" t="s">
        <v>7690</v>
      </c>
      <c r="D7570" s="4" t="str">
        <f t="shared" si="559"/>
        <v>12Go Link</v>
      </c>
      <c r="E7570" s="3" t="s">
        <v>3197</v>
      </c>
      <c r="K7570" s="5"/>
    </row>
    <row r="7571">
      <c r="A7571" s="3" t="s">
        <v>7682</v>
      </c>
      <c r="B7571" s="3" t="s">
        <v>7691</v>
      </c>
      <c r="C7571" s="3" t="s">
        <v>7692</v>
      </c>
      <c r="D7571" s="4" t="str">
        <f t="shared" ref="D7571:D7572" si="560">HYPERLINK("https://12go.asia/en/travel/Ahangama/Nuwara-Eliya", "12Go Link")</f>
        <v>12Go Link</v>
      </c>
      <c r="E7571" s="3" t="s">
        <v>3203</v>
      </c>
      <c r="K7571" s="5"/>
    </row>
    <row r="7572">
      <c r="A7572" s="3" t="s">
        <v>7682</v>
      </c>
      <c r="B7572" s="3" t="s">
        <v>7691</v>
      </c>
      <c r="C7572" s="3" t="s">
        <v>7692</v>
      </c>
      <c r="D7572" s="4" t="str">
        <f t="shared" si="560"/>
        <v>12Go Link</v>
      </c>
      <c r="E7572" s="3" t="s">
        <v>3197</v>
      </c>
      <c r="K7572" s="5"/>
    </row>
    <row r="7573">
      <c r="A7573" s="3" t="s">
        <v>7682</v>
      </c>
      <c r="B7573" s="3" t="s">
        <v>7693</v>
      </c>
      <c r="C7573" s="3" t="s">
        <v>7694</v>
      </c>
      <c r="D7573" s="4" t="str">
        <f t="shared" ref="D7573:D7574" si="561">HYPERLINK("https://12go.asia/en/travel/Ahangama/Sigiriya", "12Go Link")</f>
        <v>12Go Link</v>
      </c>
      <c r="E7573" s="3" t="s">
        <v>3203</v>
      </c>
      <c r="K7573" s="5"/>
    </row>
    <row r="7574">
      <c r="A7574" s="3" t="s">
        <v>7682</v>
      </c>
      <c r="B7574" s="3" t="s">
        <v>7693</v>
      </c>
      <c r="C7574" s="3" t="s">
        <v>7694</v>
      </c>
      <c r="D7574" s="4" t="str">
        <f t="shared" si="561"/>
        <v>12Go Link</v>
      </c>
      <c r="E7574" s="3" t="s">
        <v>3197</v>
      </c>
      <c r="K7574" s="5"/>
    </row>
    <row r="7575">
      <c r="A7575" s="3" t="s">
        <v>7682</v>
      </c>
      <c r="B7575" s="3" t="s">
        <v>7695</v>
      </c>
      <c r="C7575" s="3" t="s">
        <v>7696</v>
      </c>
      <c r="D7575" s="4" t="str">
        <f t="shared" ref="D7575:D7576" si="562">HYPERLINK("https://12go.asia/en/travel/Ahangama/Tissamaharama", "12Go Link")</f>
        <v>12Go Link</v>
      </c>
      <c r="E7575" s="3" t="s">
        <v>3203</v>
      </c>
      <c r="K7575" s="5"/>
    </row>
    <row r="7576">
      <c r="A7576" s="3" t="s">
        <v>7682</v>
      </c>
      <c r="B7576" s="3" t="s">
        <v>7695</v>
      </c>
      <c r="C7576" s="3" t="s">
        <v>7696</v>
      </c>
      <c r="D7576" s="4" t="str">
        <f t="shared" si="562"/>
        <v>12Go Link</v>
      </c>
      <c r="E7576" s="3" t="s">
        <v>3197</v>
      </c>
      <c r="K7576" s="5"/>
    </row>
    <row r="7577">
      <c r="A7577" s="3" t="s">
        <v>7697</v>
      </c>
      <c r="B7577" s="3" t="s">
        <v>7683</v>
      </c>
      <c r="C7577" s="3" t="s">
        <v>7698</v>
      </c>
      <c r="D7577" s="4" t="str">
        <f t="shared" ref="D7577:D7578" si="563">HYPERLINK("https://12go.asia/en/travel/Ahungalla/Dambulla", "12Go Link")</f>
        <v>12Go Link</v>
      </c>
      <c r="E7577" s="3" t="s">
        <v>3203</v>
      </c>
      <c r="K7577" s="5"/>
    </row>
    <row r="7578">
      <c r="A7578" s="3" t="s">
        <v>7697</v>
      </c>
      <c r="B7578" s="3" t="s">
        <v>7683</v>
      </c>
      <c r="C7578" s="3" t="s">
        <v>7698</v>
      </c>
      <c r="D7578" s="4" t="str">
        <f t="shared" si="563"/>
        <v>12Go Link</v>
      </c>
      <c r="E7578" s="3" t="s">
        <v>3197</v>
      </c>
      <c r="K7578" s="5"/>
    </row>
    <row r="7579">
      <c r="A7579" s="3" t="s">
        <v>7697</v>
      </c>
      <c r="B7579" s="3" t="s">
        <v>7685</v>
      </c>
      <c r="C7579" s="3" t="s">
        <v>7699</v>
      </c>
      <c r="D7579" s="4" t="str">
        <f t="shared" ref="D7579:D7580" si="564">HYPERLINK("https://12go.asia/en/travel/Ahungalla/Ella", "12Go Link")</f>
        <v>12Go Link</v>
      </c>
      <c r="E7579" s="3" t="s">
        <v>3203</v>
      </c>
      <c r="K7579" s="5"/>
    </row>
    <row r="7580">
      <c r="A7580" s="3" t="s">
        <v>7697</v>
      </c>
      <c r="B7580" s="3" t="s">
        <v>7685</v>
      </c>
      <c r="C7580" s="3" t="s">
        <v>7699</v>
      </c>
      <c r="D7580" s="4" t="str">
        <f t="shared" si="564"/>
        <v>12Go Link</v>
      </c>
      <c r="E7580" s="3" t="s">
        <v>3197</v>
      </c>
      <c r="K7580" s="5"/>
    </row>
    <row r="7581">
      <c r="A7581" s="3" t="s">
        <v>7697</v>
      </c>
      <c r="B7581" s="3" t="s">
        <v>7687</v>
      </c>
      <c r="C7581" s="3" t="s">
        <v>7700</v>
      </c>
      <c r="D7581" s="4" t="str">
        <f t="shared" ref="D7581:D7582" si="565">HYPERLINK("https://12go.asia/en/travel/Ahungalla/Kandy", "12Go Link")</f>
        <v>12Go Link</v>
      </c>
      <c r="E7581" s="3" t="s">
        <v>3203</v>
      </c>
      <c r="K7581" s="5"/>
    </row>
    <row r="7582">
      <c r="A7582" s="3" t="s">
        <v>7697</v>
      </c>
      <c r="B7582" s="3" t="s">
        <v>7687</v>
      </c>
      <c r="C7582" s="3" t="s">
        <v>7700</v>
      </c>
      <c r="D7582" s="4" t="str">
        <f t="shared" si="565"/>
        <v>12Go Link</v>
      </c>
      <c r="E7582" s="3" t="s">
        <v>3197</v>
      </c>
      <c r="K7582" s="5"/>
    </row>
    <row r="7583">
      <c r="A7583" s="3" t="s">
        <v>7697</v>
      </c>
      <c r="B7583" s="3" t="s">
        <v>7689</v>
      </c>
      <c r="C7583" s="3" t="s">
        <v>7701</v>
      </c>
      <c r="D7583" s="4" t="str">
        <f t="shared" ref="D7583:D7584" si="566">HYPERLINK("https://12go.asia/en/travel/Ahungalla/Negombo", "12Go Link")</f>
        <v>12Go Link</v>
      </c>
      <c r="E7583" s="3" t="s">
        <v>3203</v>
      </c>
      <c r="K7583" s="5"/>
    </row>
    <row r="7584">
      <c r="A7584" s="3" t="s">
        <v>7697</v>
      </c>
      <c r="B7584" s="3" t="s">
        <v>7689</v>
      </c>
      <c r="C7584" s="3" t="s">
        <v>7701</v>
      </c>
      <c r="D7584" s="4" t="str">
        <f t="shared" si="566"/>
        <v>12Go Link</v>
      </c>
      <c r="E7584" s="3" t="s">
        <v>3197</v>
      </c>
      <c r="K7584" s="5"/>
    </row>
    <row r="7585">
      <c r="A7585" s="3" t="s">
        <v>7697</v>
      </c>
      <c r="B7585" s="3" t="s">
        <v>7691</v>
      </c>
      <c r="C7585" s="3" t="s">
        <v>7702</v>
      </c>
      <c r="D7585" s="4" t="str">
        <f t="shared" ref="D7585:D7586" si="567">HYPERLINK("https://12go.asia/en/travel/Ahungalla/Nuwara-Eliya", "12Go Link")</f>
        <v>12Go Link</v>
      </c>
      <c r="E7585" s="3" t="s">
        <v>3203</v>
      </c>
      <c r="K7585" s="5"/>
    </row>
    <row r="7586">
      <c r="A7586" s="3" t="s">
        <v>7697</v>
      </c>
      <c r="B7586" s="3" t="s">
        <v>7691</v>
      </c>
      <c r="C7586" s="3" t="s">
        <v>7702</v>
      </c>
      <c r="D7586" s="4" t="str">
        <f t="shared" si="567"/>
        <v>12Go Link</v>
      </c>
      <c r="E7586" s="3" t="s">
        <v>3197</v>
      </c>
      <c r="K7586" s="5"/>
    </row>
    <row r="7587">
      <c r="A7587" s="3" t="s">
        <v>7697</v>
      </c>
      <c r="B7587" s="3" t="s">
        <v>7693</v>
      </c>
      <c r="C7587" s="3" t="s">
        <v>7703</v>
      </c>
      <c r="D7587" s="4" t="str">
        <f t="shared" ref="D7587:D7588" si="568">HYPERLINK("https://12go.asia/en/travel/Ahungalla/Sigiriya", "12Go Link")</f>
        <v>12Go Link</v>
      </c>
      <c r="E7587" s="3" t="s">
        <v>3203</v>
      </c>
      <c r="K7587" s="5"/>
    </row>
    <row r="7588">
      <c r="A7588" s="3" t="s">
        <v>7697</v>
      </c>
      <c r="B7588" s="3" t="s">
        <v>7693</v>
      </c>
      <c r="C7588" s="3" t="s">
        <v>7703</v>
      </c>
      <c r="D7588" s="4" t="str">
        <f t="shared" si="568"/>
        <v>12Go Link</v>
      </c>
      <c r="E7588" s="3" t="s">
        <v>3197</v>
      </c>
      <c r="K7588" s="5"/>
    </row>
    <row r="7589">
      <c r="A7589" s="3" t="s">
        <v>7697</v>
      </c>
      <c r="B7589" s="3" t="s">
        <v>7695</v>
      </c>
      <c r="C7589" s="3" t="s">
        <v>7704</v>
      </c>
      <c r="D7589" s="4" t="str">
        <f t="shared" ref="D7589:D7590" si="569">HYPERLINK("https://12go.asia/en/travel/Ahungalla/Tissamaharama", "12Go Link")</f>
        <v>12Go Link</v>
      </c>
      <c r="E7589" s="3" t="s">
        <v>3203</v>
      </c>
      <c r="K7589" s="5"/>
    </row>
    <row r="7590">
      <c r="A7590" s="3" t="s">
        <v>7697</v>
      </c>
      <c r="B7590" s="3" t="s">
        <v>7695</v>
      </c>
      <c r="C7590" s="3" t="s">
        <v>7704</v>
      </c>
      <c r="D7590" s="4" t="str">
        <f t="shared" si="569"/>
        <v>12Go Link</v>
      </c>
      <c r="E7590" s="3" t="s">
        <v>3197</v>
      </c>
      <c r="K7590" s="5"/>
    </row>
    <row r="7591">
      <c r="A7591" s="3" t="s">
        <v>7705</v>
      </c>
      <c r="B7591" s="3" t="s">
        <v>7706</v>
      </c>
      <c r="C7591" s="3" t="s">
        <v>7707</v>
      </c>
      <c r="D7591" s="4" t="str">
        <f t="shared" ref="D7591:D7592" si="570">HYPERLINK("https://12go.asia/en/travel/Aluthgama/Colombo", "12Go Link")</f>
        <v>12Go Link</v>
      </c>
      <c r="E7591" s="3" t="s">
        <v>3203</v>
      </c>
      <c r="K7591" s="5"/>
    </row>
    <row r="7592">
      <c r="A7592" s="3" t="s">
        <v>7705</v>
      </c>
      <c r="B7592" s="3" t="s">
        <v>7706</v>
      </c>
      <c r="C7592" s="3" t="s">
        <v>7707</v>
      </c>
      <c r="D7592" s="4" t="str">
        <f t="shared" si="570"/>
        <v>12Go Link</v>
      </c>
      <c r="E7592" s="3" t="s">
        <v>3197</v>
      </c>
      <c r="K7592" s="5"/>
    </row>
    <row r="7593">
      <c r="A7593" s="3" t="s">
        <v>7705</v>
      </c>
      <c r="B7593" s="3" t="s">
        <v>7708</v>
      </c>
      <c r="C7593" s="3" t="s">
        <v>7709</v>
      </c>
      <c r="D7593" s="4" t="str">
        <f t="shared" ref="D7593:D7595" si="571">HYPERLINK("https://12go.asia/en/travel/Aluthgama/Katunayake", "12Go Link")</f>
        <v>12Go Link</v>
      </c>
      <c r="E7593" s="3" t="s">
        <v>222</v>
      </c>
      <c r="K7593" s="5"/>
    </row>
    <row r="7594">
      <c r="A7594" s="3" t="s">
        <v>7705</v>
      </c>
      <c r="B7594" s="3" t="s">
        <v>7708</v>
      </c>
      <c r="C7594" s="3" t="s">
        <v>7709</v>
      </c>
      <c r="D7594" s="4" t="str">
        <f t="shared" si="571"/>
        <v>12Go Link</v>
      </c>
      <c r="E7594" s="3" t="s">
        <v>3203</v>
      </c>
      <c r="K7594" s="5"/>
    </row>
    <row r="7595">
      <c r="A7595" s="3" t="s">
        <v>7705</v>
      </c>
      <c r="B7595" s="3" t="s">
        <v>7708</v>
      </c>
      <c r="C7595" s="3" t="s">
        <v>7709</v>
      </c>
      <c r="D7595" s="4" t="str">
        <f t="shared" si="571"/>
        <v>12Go Link</v>
      </c>
      <c r="E7595" s="3" t="s">
        <v>3197</v>
      </c>
      <c r="K7595" s="5"/>
    </row>
    <row r="7596">
      <c r="A7596" s="3" t="s">
        <v>7705</v>
      </c>
      <c r="B7596" s="3" t="s">
        <v>7683</v>
      </c>
      <c r="C7596" s="3" t="s">
        <v>7710</v>
      </c>
      <c r="D7596" s="4" t="str">
        <f t="shared" ref="D7596:D7597" si="572">HYPERLINK("https://12go.asia/en/travel/Aluthgama/Dambulla", "12Go Link")</f>
        <v>12Go Link</v>
      </c>
      <c r="E7596" s="3" t="s">
        <v>3203</v>
      </c>
      <c r="K7596" s="5"/>
    </row>
    <row r="7597">
      <c r="A7597" s="3" t="s">
        <v>7705</v>
      </c>
      <c r="B7597" s="3" t="s">
        <v>7683</v>
      </c>
      <c r="C7597" s="3" t="s">
        <v>7710</v>
      </c>
      <c r="D7597" s="4" t="str">
        <f t="shared" si="572"/>
        <v>12Go Link</v>
      </c>
      <c r="E7597" s="3" t="s">
        <v>3197</v>
      </c>
      <c r="K7597" s="5"/>
    </row>
    <row r="7598">
      <c r="A7598" s="3" t="s">
        <v>7705</v>
      </c>
      <c r="B7598" s="3" t="s">
        <v>7685</v>
      </c>
      <c r="C7598" s="3" t="s">
        <v>7711</v>
      </c>
      <c r="D7598" s="4" t="str">
        <f t="shared" ref="D7598:D7599" si="573">HYPERLINK("https://12go.asia/en/travel/Aluthgama/Ella", "12Go Link")</f>
        <v>12Go Link</v>
      </c>
      <c r="E7598" s="3" t="s">
        <v>3203</v>
      </c>
      <c r="K7598" s="5"/>
    </row>
    <row r="7599">
      <c r="A7599" s="3" t="s">
        <v>7705</v>
      </c>
      <c r="B7599" s="3" t="s">
        <v>7685</v>
      </c>
      <c r="C7599" s="3" t="s">
        <v>7711</v>
      </c>
      <c r="D7599" s="4" t="str">
        <f t="shared" si="573"/>
        <v>12Go Link</v>
      </c>
      <c r="E7599" s="3" t="s">
        <v>3197</v>
      </c>
      <c r="K7599" s="5"/>
    </row>
    <row r="7600">
      <c r="A7600" s="3" t="s">
        <v>7705</v>
      </c>
      <c r="B7600" s="3" t="s">
        <v>7687</v>
      </c>
      <c r="C7600" s="3" t="s">
        <v>7712</v>
      </c>
      <c r="D7600" s="4" t="str">
        <f t="shared" ref="D7600:D7601" si="574">HYPERLINK("https://12go.asia/en/travel/Aluthgama/Kandy", "12Go Link")</f>
        <v>12Go Link</v>
      </c>
      <c r="E7600" s="3" t="s">
        <v>3203</v>
      </c>
      <c r="K7600" s="5"/>
    </row>
    <row r="7601">
      <c r="A7601" s="3" t="s">
        <v>7705</v>
      </c>
      <c r="B7601" s="3" t="s">
        <v>7687</v>
      </c>
      <c r="C7601" s="3" t="s">
        <v>7712</v>
      </c>
      <c r="D7601" s="4" t="str">
        <f t="shared" si="574"/>
        <v>12Go Link</v>
      </c>
      <c r="E7601" s="3" t="s">
        <v>3197</v>
      </c>
      <c r="K7601" s="5"/>
    </row>
    <row r="7602">
      <c r="A7602" s="3" t="s">
        <v>7705</v>
      </c>
      <c r="B7602" s="3" t="s">
        <v>7689</v>
      </c>
      <c r="C7602" s="3" t="s">
        <v>7713</v>
      </c>
      <c r="D7602" s="4" t="str">
        <f t="shared" ref="D7602:D7603" si="575">HYPERLINK("https://12go.asia/en/travel/Aluthgama/Negombo", "12Go Link")</f>
        <v>12Go Link</v>
      </c>
      <c r="E7602" s="3" t="s">
        <v>3203</v>
      </c>
      <c r="K7602" s="5"/>
    </row>
    <row r="7603">
      <c r="A7603" s="3" t="s">
        <v>7705</v>
      </c>
      <c r="B7603" s="3" t="s">
        <v>7689</v>
      </c>
      <c r="C7603" s="3" t="s">
        <v>7713</v>
      </c>
      <c r="D7603" s="4" t="str">
        <f t="shared" si="575"/>
        <v>12Go Link</v>
      </c>
      <c r="E7603" s="3" t="s">
        <v>3197</v>
      </c>
      <c r="K7603" s="5"/>
    </row>
    <row r="7604">
      <c r="A7604" s="3" t="s">
        <v>7705</v>
      </c>
      <c r="B7604" s="3" t="s">
        <v>7691</v>
      </c>
      <c r="C7604" s="3" t="s">
        <v>7714</v>
      </c>
      <c r="D7604" s="4" t="str">
        <f t="shared" ref="D7604:D7605" si="576">HYPERLINK("https://12go.asia/en/travel/Aluthgama/Nuwara-Eliya", "12Go Link")</f>
        <v>12Go Link</v>
      </c>
      <c r="E7604" s="3" t="s">
        <v>3203</v>
      </c>
      <c r="K7604" s="5"/>
    </row>
    <row r="7605">
      <c r="A7605" s="3" t="s">
        <v>7705</v>
      </c>
      <c r="B7605" s="3" t="s">
        <v>7691</v>
      </c>
      <c r="C7605" s="3" t="s">
        <v>7714</v>
      </c>
      <c r="D7605" s="4" t="str">
        <f t="shared" si="576"/>
        <v>12Go Link</v>
      </c>
      <c r="E7605" s="3" t="s">
        <v>3197</v>
      </c>
      <c r="K7605" s="5"/>
    </row>
    <row r="7606">
      <c r="A7606" s="3" t="s">
        <v>7705</v>
      </c>
      <c r="B7606" s="3" t="s">
        <v>7693</v>
      </c>
      <c r="C7606" s="3" t="s">
        <v>7715</v>
      </c>
      <c r="D7606" s="4" t="str">
        <f t="shared" ref="D7606:D7607" si="577">HYPERLINK("https://12go.asia/en/travel/Aluthgama/Sigiriya", "12Go Link")</f>
        <v>12Go Link</v>
      </c>
      <c r="E7606" s="3" t="s">
        <v>3203</v>
      </c>
      <c r="K7606" s="5"/>
    </row>
    <row r="7607">
      <c r="A7607" s="3" t="s">
        <v>7705</v>
      </c>
      <c r="B7607" s="3" t="s">
        <v>7693</v>
      </c>
      <c r="C7607" s="3" t="s">
        <v>7715</v>
      </c>
      <c r="D7607" s="4" t="str">
        <f t="shared" si="577"/>
        <v>12Go Link</v>
      </c>
      <c r="E7607" s="3" t="s">
        <v>3197</v>
      </c>
      <c r="K7607" s="5"/>
    </row>
    <row r="7608">
      <c r="A7608" s="3" t="s">
        <v>7705</v>
      </c>
      <c r="B7608" s="3" t="s">
        <v>7695</v>
      </c>
      <c r="C7608" s="3" t="s">
        <v>7716</v>
      </c>
      <c r="D7608" s="4" t="str">
        <f t="shared" ref="D7608:D7609" si="578">HYPERLINK("https://12go.asia/en/travel/Aluthgama/Tissamaharama", "12Go Link")</f>
        <v>12Go Link</v>
      </c>
      <c r="E7608" s="3" t="s">
        <v>3203</v>
      </c>
      <c r="K7608" s="5"/>
    </row>
    <row r="7609">
      <c r="A7609" s="3" t="s">
        <v>7705</v>
      </c>
      <c r="B7609" s="3" t="s">
        <v>7695</v>
      </c>
      <c r="C7609" s="3" t="s">
        <v>7716</v>
      </c>
      <c r="D7609" s="4" t="str">
        <f t="shared" si="578"/>
        <v>12Go Link</v>
      </c>
      <c r="E7609" s="3" t="s">
        <v>3197</v>
      </c>
      <c r="K7609" s="5"/>
    </row>
    <row r="7610">
      <c r="A7610" s="3" t="s">
        <v>7705</v>
      </c>
      <c r="B7610" s="3" t="s">
        <v>7695</v>
      </c>
      <c r="C7610" s="3" t="s">
        <v>7717</v>
      </c>
      <c r="D7610" s="4" t="str">
        <f t="shared" ref="D7610:D7612" si="579">HYPERLINK("https://12go.asia/en/travel/Aluthgama/Yala-Park", "12Go Link")</f>
        <v>12Go Link</v>
      </c>
      <c r="E7610" s="3" t="s">
        <v>222</v>
      </c>
      <c r="K7610" s="5"/>
    </row>
    <row r="7611">
      <c r="A7611" s="3" t="s">
        <v>7705</v>
      </c>
      <c r="B7611" s="3" t="s">
        <v>7695</v>
      </c>
      <c r="C7611" s="3" t="s">
        <v>7717</v>
      </c>
      <c r="D7611" s="4" t="str">
        <f t="shared" si="579"/>
        <v>12Go Link</v>
      </c>
      <c r="E7611" s="3" t="s">
        <v>3203</v>
      </c>
      <c r="K7611" s="5"/>
    </row>
    <row r="7612">
      <c r="A7612" s="3" t="s">
        <v>7705</v>
      </c>
      <c r="B7612" s="3" t="s">
        <v>7695</v>
      </c>
      <c r="C7612" s="3" t="s">
        <v>7717</v>
      </c>
      <c r="D7612" s="4" t="str">
        <f t="shared" si="579"/>
        <v>12Go Link</v>
      </c>
      <c r="E7612" s="3" t="s">
        <v>3197</v>
      </c>
      <c r="K7612" s="5"/>
    </row>
    <row r="7613">
      <c r="A7613" s="3" t="s">
        <v>7718</v>
      </c>
      <c r="B7613" s="3" t="s">
        <v>7706</v>
      </c>
      <c r="C7613" s="3" t="s">
        <v>7719</v>
      </c>
      <c r="D7613" s="4" t="str">
        <f t="shared" ref="D7613:D7614" si="580">HYPERLINK("https://12go.asia/en/travel/Ambalangoda/Colombo", "12Go Link")</f>
        <v>12Go Link</v>
      </c>
      <c r="E7613" s="3" t="s">
        <v>3203</v>
      </c>
      <c r="K7613" s="5"/>
    </row>
    <row r="7614">
      <c r="A7614" s="3" t="s">
        <v>7718</v>
      </c>
      <c r="B7614" s="3" t="s">
        <v>7706</v>
      </c>
      <c r="C7614" s="3" t="s">
        <v>7719</v>
      </c>
      <c r="D7614" s="4" t="str">
        <f t="shared" si="580"/>
        <v>12Go Link</v>
      </c>
      <c r="E7614" s="3" t="s">
        <v>3197</v>
      </c>
      <c r="K7614" s="5"/>
    </row>
    <row r="7615">
      <c r="A7615" s="3" t="s">
        <v>7718</v>
      </c>
      <c r="B7615" s="3" t="s">
        <v>7683</v>
      </c>
      <c r="C7615" s="3" t="s">
        <v>7720</v>
      </c>
      <c r="D7615" s="4" t="str">
        <f t="shared" ref="D7615:D7616" si="581">HYPERLINK("https://12go.asia/en/travel/Ambalangoda/Dambulla", "12Go Link")</f>
        <v>12Go Link</v>
      </c>
      <c r="E7615" s="3" t="s">
        <v>3203</v>
      </c>
      <c r="K7615" s="5"/>
    </row>
    <row r="7616">
      <c r="A7616" s="3" t="s">
        <v>7718</v>
      </c>
      <c r="B7616" s="3" t="s">
        <v>7683</v>
      </c>
      <c r="C7616" s="3" t="s">
        <v>7720</v>
      </c>
      <c r="D7616" s="4" t="str">
        <f t="shared" si="581"/>
        <v>12Go Link</v>
      </c>
      <c r="E7616" s="3" t="s">
        <v>3197</v>
      </c>
      <c r="K7616" s="5"/>
    </row>
    <row r="7617">
      <c r="A7617" s="3" t="s">
        <v>7718</v>
      </c>
      <c r="B7617" s="3" t="s">
        <v>7685</v>
      </c>
      <c r="C7617" s="3" t="s">
        <v>7721</v>
      </c>
      <c r="D7617" s="4" t="str">
        <f t="shared" ref="D7617:D7618" si="582">HYPERLINK("https://12go.asia/en/travel/Ambalangoda/Ella", "12Go Link")</f>
        <v>12Go Link</v>
      </c>
      <c r="E7617" s="3" t="s">
        <v>3203</v>
      </c>
      <c r="K7617" s="5"/>
    </row>
    <row r="7618">
      <c r="A7618" s="3" t="s">
        <v>7718</v>
      </c>
      <c r="B7618" s="3" t="s">
        <v>7685</v>
      </c>
      <c r="C7618" s="3" t="s">
        <v>7721</v>
      </c>
      <c r="D7618" s="4" t="str">
        <f t="shared" si="582"/>
        <v>12Go Link</v>
      </c>
      <c r="E7618" s="3" t="s">
        <v>3197</v>
      </c>
      <c r="K7618" s="5"/>
    </row>
    <row r="7619">
      <c r="A7619" s="3" t="s">
        <v>7718</v>
      </c>
      <c r="B7619" s="3" t="s">
        <v>7687</v>
      </c>
      <c r="C7619" s="3" t="s">
        <v>7722</v>
      </c>
      <c r="D7619" s="4" t="str">
        <f t="shared" ref="D7619:D7620" si="583">HYPERLINK("https://12go.asia/en/travel/Ambalangoda/Kandy", "12Go Link")</f>
        <v>12Go Link</v>
      </c>
      <c r="E7619" s="3" t="s">
        <v>222</v>
      </c>
      <c r="K7619" s="5"/>
    </row>
    <row r="7620">
      <c r="A7620" s="3" t="s">
        <v>7718</v>
      </c>
      <c r="B7620" s="3" t="s">
        <v>7687</v>
      </c>
      <c r="C7620" s="3" t="s">
        <v>7722</v>
      </c>
      <c r="D7620" s="4" t="str">
        <f t="shared" si="583"/>
        <v>12Go Link</v>
      </c>
      <c r="E7620" s="3" t="s">
        <v>3197</v>
      </c>
      <c r="K7620" s="5"/>
    </row>
    <row r="7621">
      <c r="A7621" s="3" t="s">
        <v>7718</v>
      </c>
      <c r="B7621" s="3" t="s">
        <v>7689</v>
      </c>
      <c r="C7621" s="3" t="s">
        <v>7723</v>
      </c>
      <c r="D7621" s="4" t="str">
        <f t="shared" ref="D7621:D7622" si="584">HYPERLINK("https://12go.asia/en/travel/Ambalangoda/Negombo", "12Go Link")</f>
        <v>12Go Link</v>
      </c>
      <c r="E7621" s="3" t="s">
        <v>3203</v>
      </c>
      <c r="K7621" s="5"/>
    </row>
    <row r="7622">
      <c r="A7622" s="3" t="s">
        <v>7718</v>
      </c>
      <c r="B7622" s="3" t="s">
        <v>7689</v>
      </c>
      <c r="C7622" s="3" t="s">
        <v>7723</v>
      </c>
      <c r="D7622" s="4" t="str">
        <f t="shared" si="584"/>
        <v>12Go Link</v>
      </c>
      <c r="E7622" s="3" t="s">
        <v>3197</v>
      </c>
      <c r="K7622" s="5"/>
    </row>
    <row r="7623">
      <c r="A7623" s="3" t="s">
        <v>7718</v>
      </c>
      <c r="B7623" s="3" t="s">
        <v>7691</v>
      </c>
      <c r="C7623" s="3" t="s">
        <v>7724</v>
      </c>
      <c r="D7623" s="4" t="str">
        <f t="shared" ref="D7623:D7624" si="585">HYPERLINK("https://12go.asia/en/travel/Ambalangoda/Nuwara-Eliya", "12Go Link")</f>
        <v>12Go Link</v>
      </c>
      <c r="E7623" s="3" t="s">
        <v>3203</v>
      </c>
      <c r="K7623" s="5"/>
    </row>
    <row r="7624">
      <c r="A7624" s="3" t="s">
        <v>7718</v>
      </c>
      <c r="B7624" s="3" t="s">
        <v>7691</v>
      </c>
      <c r="C7624" s="3" t="s">
        <v>7724</v>
      </c>
      <c r="D7624" s="4" t="str">
        <f t="shared" si="585"/>
        <v>12Go Link</v>
      </c>
      <c r="E7624" s="3" t="s">
        <v>3197</v>
      </c>
      <c r="K7624" s="5"/>
    </row>
    <row r="7625">
      <c r="A7625" s="3" t="s">
        <v>7718</v>
      </c>
      <c r="B7625" s="3" t="s">
        <v>7693</v>
      </c>
      <c r="C7625" s="3" t="s">
        <v>7725</v>
      </c>
      <c r="D7625" s="4" t="str">
        <f t="shared" ref="D7625:D7626" si="586">HYPERLINK("https://12go.asia/en/travel/Ambalangoda/Sigiriya", "12Go Link")</f>
        <v>12Go Link</v>
      </c>
      <c r="E7625" s="3" t="s">
        <v>3203</v>
      </c>
      <c r="K7625" s="5"/>
    </row>
    <row r="7626">
      <c r="A7626" s="3" t="s">
        <v>7718</v>
      </c>
      <c r="B7626" s="3" t="s">
        <v>7693</v>
      </c>
      <c r="C7626" s="3" t="s">
        <v>7725</v>
      </c>
      <c r="D7626" s="4" t="str">
        <f t="shared" si="586"/>
        <v>12Go Link</v>
      </c>
      <c r="E7626" s="3" t="s">
        <v>3197</v>
      </c>
      <c r="K7626" s="5"/>
    </row>
    <row r="7627">
      <c r="A7627" s="3" t="s">
        <v>7718</v>
      </c>
      <c r="B7627" s="3" t="s">
        <v>7695</v>
      </c>
      <c r="C7627" s="3" t="s">
        <v>7726</v>
      </c>
      <c r="D7627" s="4" t="str">
        <f t="shared" ref="D7627:D7628" si="587">HYPERLINK("https://12go.asia/en/travel/Ambalangoda/Tissamaharama", "12Go Link")</f>
        <v>12Go Link</v>
      </c>
      <c r="E7627" s="3" t="s">
        <v>3203</v>
      </c>
      <c r="K7627" s="5"/>
    </row>
    <row r="7628">
      <c r="A7628" s="3" t="s">
        <v>7718</v>
      </c>
      <c r="B7628" s="3" t="s">
        <v>7695</v>
      </c>
      <c r="C7628" s="3" t="s">
        <v>7726</v>
      </c>
      <c r="D7628" s="4" t="str">
        <f t="shared" si="587"/>
        <v>12Go Link</v>
      </c>
      <c r="E7628" s="3" t="s">
        <v>3197</v>
      </c>
      <c r="K7628" s="5"/>
    </row>
    <row r="7629">
      <c r="A7629" s="3" t="s">
        <v>7718</v>
      </c>
      <c r="B7629" s="3" t="s">
        <v>7695</v>
      </c>
      <c r="C7629" s="3" t="s">
        <v>7727</v>
      </c>
      <c r="D7629" s="4" t="str">
        <f t="shared" ref="D7629:D7630" si="588">HYPERLINK("https://12go.asia/en/travel/Ambalangoda/Yala-Park", "12Go Link")</f>
        <v>12Go Link</v>
      </c>
      <c r="E7629" s="3" t="s">
        <v>3203</v>
      </c>
      <c r="K7629" s="5"/>
    </row>
    <row r="7630">
      <c r="A7630" s="3" t="s">
        <v>7718</v>
      </c>
      <c r="B7630" s="3" t="s">
        <v>7695</v>
      </c>
      <c r="C7630" s="3" t="s">
        <v>7727</v>
      </c>
      <c r="D7630" s="4" t="str">
        <f t="shared" si="588"/>
        <v>12Go Link</v>
      </c>
      <c r="E7630" s="3" t="s">
        <v>3197</v>
      </c>
      <c r="K7630" s="5"/>
    </row>
    <row r="7631">
      <c r="A7631" s="3" t="s">
        <v>7728</v>
      </c>
      <c r="B7631" s="3" t="s">
        <v>7706</v>
      </c>
      <c r="C7631" s="3" t="s">
        <v>7729</v>
      </c>
      <c r="D7631" s="4" t="str">
        <f t="shared" ref="D7631:D7632" si="589">HYPERLINK("https://12go.asia/en/travel/Ambalantota/Colombo", "12Go Link")</f>
        <v>12Go Link</v>
      </c>
      <c r="E7631" s="3" t="s">
        <v>3203</v>
      </c>
      <c r="K7631" s="5"/>
    </row>
    <row r="7632">
      <c r="A7632" s="3" t="s">
        <v>7728</v>
      </c>
      <c r="B7632" s="3" t="s">
        <v>7706</v>
      </c>
      <c r="C7632" s="3" t="s">
        <v>7729</v>
      </c>
      <c r="D7632" s="4" t="str">
        <f t="shared" si="589"/>
        <v>12Go Link</v>
      </c>
      <c r="E7632" s="3" t="s">
        <v>3197</v>
      </c>
      <c r="K7632" s="5"/>
    </row>
    <row r="7633">
      <c r="A7633" s="3" t="s">
        <v>7728</v>
      </c>
      <c r="B7633" s="3" t="s">
        <v>7708</v>
      </c>
      <c r="C7633" s="3" t="s">
        <v>7730</v>
      </c>
      <c r="D7633" s="4" t="str">
        <f t="shared" ref="D7633:D7634" si="590">HYPERLINK("https://12go.asia/en/travel/Ambalantota/Bandaranaike-Airport", "12Go Link")</f>
        <v>12Go Link</v>
      </c>
      <c r="E7633" s="3" t="s">
        <v>3203</v>
      </c>
      <c r="K7633" s="5"/>
    </row>
    <row r="7634">
      <c r="A7634" s="3" t="s">
        <v>7728</v>
      </c>
      <c r="B7634" s="3" t="s">
        <v>7708</v>
      </c>
      <c r="C7634" s="3" t="s">
        <v>7730</v>
      </c>
      <c r="D7634" s="4" t="str">
        <f t="shared" si="590"/>
        <v>12Go Link</v>
      </c>
      <c r="E7634" s="3" t="s">
        <v>3197</v>
      </c>
      <c r="K7634" s="5"/>
    </row>
    <row r="7635">
      <c r="A7635" s="3" t="s">
        <v>7728</v>
      </c>
      <c r="B7635" s="3" t="s">
        <v>7708</v>
      </c>
      <c r="C7635" s="3" t="s">
        <v>7731</v>
      </c>
      <c r="D7635" s="4" t="str">
        <f t="shared" ref="D7635:D7637" si="591">HYPERLINK("https://12go.asia/en/travel/Ambalantota/Katunayake", "12Go Link")</f>
        <v>12Go Link</v>
      </c>
      <c r="E7635" s="3" t="s">
        <v>222</v>
      </c>
      <c r="K7635" s="5"/>
    </row>
    <row r="7636">
      <c r="A7636" s="3" t="s">
        <v>7728</v>
      </c>
      <c r="B7636" s="3" t="s">
        <v>7708</v>
      </c>
      <c r="C7636" s="3" t="s">
        <v>7731</v>
      </c>
      <c r="D7636" s="4" t="str">
        <f t="shared" si="591"/>
        <v>12Go Link</v>
      </c>
      <c r="E7636" s="3" t="s">
        <v>3203</v>
      </c>
      <c r="K7636" s="5"/>
    </row>
    <row r="7637">
      <c r="A7637" s="3" t="s">
        <v>7728</v>
      </c>
      <c r="B7637" s="3" t="s">
        <v>7708</v>
      </c>
      <c r="C7637" s="3" t="s">
        <v>7731</v>
      </c>
      <c r="D7637" s="4" t="str">
        <f t="shared" si="591"/>
        <v>12Go Link</v>
      </c>
      <c r="E7637" s="3" t="s">
        <v>3197</v>
      </c>
      <c r="K7637" s="5"/>
    </row>
    <row r="7638">
      <c r="A7638" s="3" t="s">
        <v>7728</v>
      </c>
      <c r="B7638" s="3" t="s">
        <v>7683</v>
      </c>
      <c r="C7638" s="3" t="s">
        <v>7732</v>
      </c>
      <c r="D7638" s="4" t="str">
        <f t="shared" ref="D7638:D7639" si="592">HYPERLINK("https://12go.asia/en/travel/Ambalantota/Dambulla", "12Go Link")</f>
        <v>12Go Link</v>
      </c>
      <c r="E7638" s="3" t="s">
        <v>3203</v>
      </c>
      <c r="K7638" s="5"/>
    </row>
    <row r="7639">
      <c r="A7639" s="3" t="s">
        <v>7728</v>
      </c>
      <c r="B7639" s="3" t="s">
        <v>7683</v>
      </c>
      <c r="C7639" s="3" t="s">
        <v>7732</v>
      </c>
      <c r="D7639" s="4" t="str">
        <f t="shared" si="592"/>
        <v>12Go Link</v>
      </c>
      <c r="E7639" s="3" t="s">
        <v>3197</v>
      </c>
      <c r="K7639" s="5"/>
    </row>
    <row r="7640">
      <c r="A7640" s="3" t="s">
        <v>7728</v>
      </c>
      <c r="B7640" s="3" t="s">
        <v>7685</v>
      </c>
      <c r="C7640" s="3" t="s">
        <v>7733</v>
      </c>
      <c r="D7640" s="4" t="str">
        <f t="shared" ref="D7640:D7641" si="593">HYPERLINK("https://12go.asia/en/travel/Ambalantota/Ella", "12Go Link")</f>
        <v>12Go Link</v>
      </c>
      <c r="E7640" s="3" t="s">
        <v>3203</v>
      </c>
      <c r="K7640" s="5"/>
    </row>
    <row r="7641">
      <c r="A7641" s="3" t="s">
        <v>7728</v>
      </c>
      <c r="B7641" s="3" t="s">
        <v>7685</v>
      </c>
      <c r="C7641" s="3" t="s">
        <v>7733</v>
      </c>
      <c r="D7641" s="4" t="str">
        <f t="shared" si="593"/>
        <v>12Go Link</v>
      </c>
      <c r="E7641" s="3" t="s">
        <v>3197</v>
      </c>
      <c r="K7641" s="5"/>
    </row>
    <row r="7642">
      <c r="A7642" s="3" t="s">
        <v>7728</v>
      </c>
      <c r="B7642" s="3" t="s">
        <v>7687</v>
      </c>
      <c r="C7642" s="3" t="s">
        <v>7734</v>
      </c>
      <c r="D7642" s="4" t="str">
        <f t="shared" ref="D7642:D7643" si="594">HYPERLINK("https://12go.asia/en/travel/Ambalantota/Kandy", "12Go Link")</f>
        <v>12Go Link</v>
      </c>
      <c r="E7642" s="3" t="s">
        <v>3203</v>
      </c>
      <c r="K7642" s="5"/>
    </row>
    <row r="7643">
      <c r="A7643" s="3" t="s">
        <v>7728</v>
      </c>
      <c r="B7643" s="3" t="s">
        <v>7687</v>
      </c>
      <c r="C7643" s="3" t="s">
        <v>7734</v>
      </c>
      <c r="D7643" s="4" t="str">
        <f t="shared" si="594"/>
        <v>12Go Link</v>
      </c>
      <c r="E7643" s="3" t="s">
        <v>3197</v>
      </c>
      <c r="K7643" s="5"/>
    </row>
    <row r="7644">
      <c r="A7644" s="3" t="s">
        <v>7728</v>
      </c>
      <c r="B7644" s="3" t="s">
        <v>7689</v>
      </c>
      <c r="C7644" s="3" t="s">
        <v>7735</v>
      </c>
      <c r="D7644" s="4" t="str">
        <f t="shared" ref="D7644:D7645" si="595">HYPERLINK("https://12go.asia/en/travel/Ambalantota/Negombo", "12Go Link")</f>
        <v>12Go Link</v>
      </c>
      <c r="E7644" s="3" t="s">
        <v>3203</v>
      </c>
      <c r="K7644" s="5"/>
    </row>
    <row r="7645">
      <c r="A7645" s="3" t="s">
        <v>7728</v>
      </c>
      <c r="B7645" s="3" t="s">
        <v>7689</v>
      </c>
      <c r="C7645" s="3" t="s">
        <v>7735</v>
      </c>
      <c r="D7645" s="4" t="str">
        <f t="shared" si="595"/>
        <v>12Go Link</v>
      </c>
      <c r="E7645" s="3" t="s">
        <v>3197</v>
      </c>
      <c r="K7645" s="5"/>
    </row>
    <row r="7646">
      <c r="A7646" s="3" t="s">
        <v>7728</v>
      </c>
      <c r="B7646" s="3" t="s">
        <v>7691</v>
      </c>
      <c r="C7646" s="3" t="s">
        <v>7736</v>
      </c>
      <c r="D7646" s="4" t="str">
        <f t="shared" ref="D7646:D7647" si="596">HYPERLINK("https://12go.asia/en/travel/Ambalantota/Nuwara-Eliya", "12Go Link")</f>
        <v>12Go Link</v>
      </c>
      <c r="E7646" s="3" t="s">
        <v>3203</v>
      </c>
      <c r="K7646" s="5"/>
    </row>
    <row r="7647">
      <c r="A7647" s="3" t="s">
        <v>7728</v>
      </c>
      <c r="B7647" s="3" t="s">
        <v>7691</v>
      </c>
      <c r="C7647" s="3" t="s">
        <v>7736</v>
      </c>
      <c r="D7647" s="4" t="str">
        <f t="shared" si="596"/>
        <v>12Go Link</v>
      </c>
      <c r="E7647" s="3" t="s">
        <v>3197</v>
      </c>
      <c r="K7647" s="5"/>
    </row>
    <row r="7648">
      <c r="A7648" s="3" t="s">
        <v>7728</v>
      </c>
      <c r="B7648" s="3" t="s">
        <v>7693</v>
      </c>
      <c r="C7648" s="3" t="s">
        <v>7737</v>
      </c>
      <c r="D7648" s="4" t="str">
        <f t="shared" ref="D7648:D7649" si="597">HYPERLINK("https://12go.asia/en/travel/Ambalantota/Sigiriya", "12Go Link")</f>
        <v>12Go Link</v>
      </c>
      <c r="E7648" s="3" t="s">
        <v>3203</v>
      </c>
      <c r="K7648" s="5"/>
    </row>
    <row r="7649">
      <c r="A7649" s="3" t="s">
        <v>7728</v>
      </c>
      <c r="B7649" s="3" t="s">
        <v>7693</v>
      </c>
      <c r="C7649" s="3" t="s">
        <v>7737</v>
      </c>
      <c r="D7649" s="4" t="str">
        <f t="shared" si="597"/>
        <v>12Go Link</v>
      </c>
      <c r="E7649" s="3" t="s">
        <v>3197</v>
      </c>
      <c r="K7649" s="5"/>
    </row>
    <row r="7650">
      <c r="A7650" s="3" t="s">
        <v>7728</v>
      </c>
      <c r="B7650" s="3" t="s">
        <v>7695</v>
      </c>
      <c r="C7650" s="3" t="s">
        <v>7738</v>
      </c>
      <c r="D7650" s="4" t="str">
        <f t="shared" ref="D7650:D7651" si="598">HYPERLINK("https://12go.asia/en/travel/Ambalantota/Yala-Park", "12Go Link")</f>
        <v>12Go Link</v>
      </c>
      <c r="E7650" s="3" t="s">
        <v>3203</v>
      </c>
      <c r="K7650" s="5"/>
    </row>
    <row r="7651">
      <c r="A7651" s="3" t="s">
        <v>7728</v>
      </c>
      <c r="B7651" s="3" t="s">
        <v>7695</v>
      </c>
      <c r="C7651" s="3" t="s">
        <v>7738</v>
      </c>
      <c r="D7651" s="4" t="str">
        <f t="shared" si="598"/>
        <v>12Go Link</v>
      </c>
      <c r="E7651" s="3" t="s">
        <v>3197</v>
      </c>
      <c r="K7651" s="5"/>
    </row>
    <row r="7652">
      <c r="A7652" s="3" t="s">
        <v>7739</v>
      </c>
      <c r="B7652" s="3" t="s">
        <v>7706</v>
      </c>
      <c r="C7652" s="3" t="s">
        <v>7740</v>
      </c>
      <c r="D7652" s="4" t="str">
        <f t="shared" ref="D7652:D7654" si="599">HYPERLINK("https://12go.asia/en/travel/Anuradhapura/Colombo-Transfer", "12Go Link")</f>
        <v>12Go Link</v>
      </c>
      <c r="E7652" s="3" t="s">
        <v>222</v>
      </c>
      <c r="K7652" s="5"/>
    </row>
    <row r="7653">
      <c r="A7653" s="3" t="s">
        <v>7739</v>
      </c>
      <c r="B7653" s="3" t="s">
        <v>7706</v>
      </c>
      <c r="C7653" s="3" t="s">
        <v>7740</v>
      </c>
      <c r="D7653" s="4" t="str">
        <f t="shared" si="599"/>
        <v>12Go Link</v>
      </c>
      <c r="E7653" s="3" t="s">
        <v>3203</v>
      </c>
      <c r="K7653" s="5"/>
    </row>
    <row r="7654">
      <c r="A7654" s="3" t="s">
        <v>7739</v>
      </c>
      <c r="B7654" s="3" t="s">
        <v>7706</v>
      </c>
      <c r="C7654" s="3" t="s">
        <v>7740</v>
      </c>
      <c r="D7654" s="4" t="str">
        <f t="shared" si="599"/>
        <v>12Go Link</v>
      </c>
      <c r="E7654" s="3" t="s">
        <v>3197</v>
      </c>
      <c r="K7654" s="5"/>
    </row>
    <row r="7655">
      <c r="A7655" s="3" t="s">
        <v>7739</v>
      </c>
      <c r="B7655" s="3" t="s">
        <v>7706</v>
      </c>
      <c r="C7655" s="3" t="s">
        <v>7741</v>
      </c>
      <c r="D7655" s="4" t="str">
        <f t="shared" ref="D7655:D7657" si="600">HYPERLINK("https://12go.asia/en/travel/Anuradhapura/Fort-Railway-Station", "12Go Link")</f>
        <v>12Go Link</v>
      </c>
      <c r="E7655" s="3" t="s">
        <v>222</v>
      </c>
      <c r="K7655" s="5"/>
    </row>
    <row r="7656">
      <c r="A7656" s="3" t="s">
        <v>7739</v>
      </c>
      <c r="B7656" s="3" t="s">
        <v>7706</v>
      </c>
      <c r="C7656" s="3" t="s">
        <v>7741</v>
      </c>
      <c r="D7656" s="4" t="str">
        <f t="shared" si="600"/>
        <v>12Go Link</v>
      </c>
      <c r="E7656" s="3" t="s">
        <v>3203</v>
      </c>
      <c r="K7656" s="5"/>
    </row>
    <row r="7657">
      <c r="A7657" s="3" t="s">
        <v>7739</v>
      </c>
      <c r="B7657" s="3" t="s">
        <v>7706</v>
      </c>
      <c r="C7657" s="3" t="s">
        <v>7741</v>
      </c>
      <c r="D7657" s="4" t="str">
        <f t="shared" si="600"/>
        <v>12Go Link</v>
      </c>
      <c r="E7657" s="3" t="s">
        <v>3197</v>
      </c>
      <c r="K7657" s="5"/>
    </row>
    <row r="7658">
      <c r="A7658" s="3" t="s">
        <v>7739</v>
      </c>
      <c r="B7658" s="3" t="s">
        <v>7683</v>
      </c>
      <c r="C7658" s="3" t="s">
        <v>7742</v>
      </c>
      <c r="D7658" s="4" t="str">
        <f t="shared" ref="D7658:D7660" si="601">HYPERLINK("https://12go.asia/en/travel/Anuradhapura/Dambulla", "12Go Link")</f>
        <v>12Go Link</v>
      </c>
      <c r="E7658" s="3" t="s">
        <v>222</v>
      </c>
      <c r="K7658" s="5"/>
    </row>
    <row r="7659">
      <c r="A7659" s="3" t="s">
        <v>7739</v>
      </c>
      <c r="B7659" s="3" t="s">
        <v>7683</v>
      </c>
      <c r="C7659" s="3" t="s">
        <v>7742</v>
      </c>
      <c r="D7659" s="4" t="str">
        <f t="shared" si="601"/>
        <v>12Go Link</v>
      </c>
      <c r="E7659" s="3" t="s">
        <v>3203</v>
      </c>
      <c r="K7659" s="5"/>
    </row>
    <row r="7660">
      <c r="A7660" s="3" t="s">
        <v>7739</v>
      </c>
      <c r="B7660" s="3" t="s">
        <v>7683</v>
      </c>
      <c r="C7660" s="3" t="s">
        <v>7742</v>
      </c>
      <c r="D7660" s="4" t="str">
        <f t="shared" si="601"/>
        <v>12Go Link</v>
      </c>
      <c r="E7660" s="3" t="s">
        <v>3197</v>
      </c>
      <c r="K7660" s="5"/>
    </row>
    <row r="7661">
      <c r="A7661" s="3" t="s">
        <v>7739</v>
      </c>
      <c r="B7661" s="3" t="s">
        <v>7743</v>
      </c>
      <c r="C7661" s="3" t="s">
        <v>7744</v>
      </c>
      <c r="D7661" s="4" t="str">
        <f t="shared" ref="D7661:D7663" si="602">HYPERLINK("https://12go.asia/en/travel/Anuradhapura/Habarana", "12Go Link")</f>
        <v>12Go Link</v>
      </c>
      <c r="E7661" s="3" t="s">
        <v>222</v>
      </c>
      <c r="K7661" s="5"/>
    </row>
    <row r="7662">
      <c r="A7662" s="3" t="s">
        <v>7739</v>
      </c>
      <c r="B7662" s="3" t="s">
        <v>7743</v>
      </c>
      <c r="C7662" s="3" t="s">
        <v>7744</v>
      </c>
      <c r="D7662" s="4" t="str">
        <f t="shared" si="602"/>
        <v>12Go Link</v>
      </c>
      <c r="E7662" s="3" t="s">
        <v>3203</v>
      </c>
      <c r="K7662" s="5"/>
    </row>
    <row r="7663">
      <c r="A7663" s="3" t="s">
        <v>7739</v>
      </c>
      <c r="B7663" s="3" t="s">
        <v>7743</v>
      </c>
      <c r="C7663" s="3" t="s">
        <v>7744</v>
      </c>
      <c r="D7663" s="4" t="str">
        <f t="shared" si="602"/>
        <v>12Go Link</v>
      </c>
      <c r="E7663" s="3" t="s">
        <v>3197</v>
      </c>
      <c r="K7663" s="5"/>
    </row>
    <row r="7664">
      <c r="A7664" s="3" t="s">
        <v>7739</v>
      </c>
      <c r="B7664" s="3" t="s">
        <v>7745</v>
      </c>
      <c r="C7664" s="3" t="s">
        <v>7746</v>
      </c>
      <c r="D7664" s="4" t="str">
        <f t="shared" ref="D7664:D7666" si="603">HYPERLINK("https://12go.asia/en/travel/Anuradhapura/Jaffna", "12Go Link")</f>
        <v>12Go Link</v>
      </c>
      <c r="E7664" s="3" t="s">
        <v>222</v>
      </c>
      <c r="K7664" s="5"/>
    </row>
    <row r="7665">
      <c r="A7665" s="3" t="s">
        <v>7739</v>
      </c>
      <c r="B7665" s="3" t="s">
        <v>7745</v>
      </c>
      <c r="C7665" s="3" t="s">
        <v>7746</v>
      </c>
      <c r="D7665" s="4" t="str">
        <f t="shared" si="603"/>
        <v>12Go Link</v>
      </c>
      <c r="E7665" s="3" t="s">
        <v>3203</v>
      </c>
      <c r="K7665" s="5"/>
    </row>
    <row r="7666">
      <c r="A7666" s="3" t="s">
        <v>7739</v>
      </c>
      <c r="B7666" s="3" t="s">
        <v>7745</v>
      </c>
      <c r="C7666" s="3" t="s">
        <v>7746</v>
      </c>
      <c r="D7666" s="4" t="str">
        <f t="shared" si="603"/>
        <v>12Go Link</v>
      </c>
      <c r="E7666" s="3" t="s">
        <v>3197</v>
      </c>
      <c r="K7666" s="5"/>
    </row>
    <row r="7667">
      <c r="A7667" s="3" t="s">
        <v>7739</v>
      </c>
      <c r="B7667" s="3" t="s">
        <v>7747</v>
      </c>
      <c r="C7667" s="3" t="s">
        <v>7748</v>
      </c>
      <c r="D7667" s="4" t="str">
        <f t="shared" ref="D7667:D7669" si="604">HYPERLINK("https://12go.asia/en/travel/Anuradhapura/Trincomalee", "12Go Link")</f>
        <v>12Go Link</v>
      </c>
      <c r="E7667" s="3" t="s">
        <v>222</v>
      </c>
      <c r="K7667" s="5"/>
    </row>
    <row r="7668">
      <c r="A7668" s="3" t="s">
        <v>7739</v>
      </c>
      <c r="B7668" s="3" t="s">
        <v>7747</v>
      </c>
      <c r="C7668" s="3" t="s">
        <v>7748</v>
      </c>
      <c r="D7668" s="4" t="str">
        <f t="shared" si="604"/>
        <v>12Go Link</v>
      </c>
      <c r="E7668" s="3" t="s">
        <v>3203</v>
      </c>
      <c r="K7668" s="5"/>
    </row>
    <row r="7669">
      <c r="A7669" s="3" t="s">
        <v>7739</v>
      </c>
      <c r="B7669" s="3" t="s">
        <v>7747</v>
      </c>
      <c r="C7669" s="3" t="s">
        <v>7748</v>
      </c>
      <c r="D7669" s="4" t="str">
        <f t="shared" si="604"/>
        <v>12Go Link</v>
      </c>
      <c r="E7669" s="3" t="s">
        <v>3197</v>
      </c>
      <c r="K7669" s="5"/>
    </row>
    <row r="7670">
      <c r="A7670" s="3" t="s">
        <v>7749</v>
      </c>
      <c r="B7670" s="3" t="s">
        <v>7706</v>
      </c>
      <c r="C7670" s="3" t="s">
        <v>7750</v>
      </c>
      <c r="D7670" s="4" t="str">
        <f t="shared" ref="D7670:D7671" si="605">HYPERLINK("https://12go.asia/en/travel/Balapitiya/Colombo", "12Go Link")</f>
        <v>12Go Link</v>
      </c>
      <c r="E7670" s="3" t="s">
        <v>3203</v>
      </c>
      <c r="K7670" s="5"/>
    </row>
    <row r="7671">
      <c r="A7671" s="3" t="s">
        <v>7749</v>
      </c>
      <c r="B7671" s="3" t="s">
        <v>7706</v>
      </c>
      <c r="C7671" s="3" t="s">
        <v>7750</v>
      </c>
      <c r="D7671" s="4" t="str">
        <f t="shared" si="605"/>
        <v>12Go Link</v>
      </c>
      <c r="E7671" s="3" t="s">
        <v>3197</v>
      </c>
      <c r="K7671" s="5"/>
    </row>
    <row r="7672">
      <c r="A7672" s="3" t="s">
        <v>7749</v>
      </c>
      <c r="B7672" s="3" t="s">
        <v>7685</v>
      </c>
      <c r="C7672" s="3" t="s">
        <v>7751</v>
      </c>
      <c r="D7672" s="4" t="str">
        <f t="shared" ref="D7672:D7673" si="606">HYPERLINK("https://12go.asia/en/travel/Balapitiya/Ella", "12Go Link")</f>
        <v>12Go Link</v>
      </c>
      <c r="E7672" s="3" t="s">
        <v>3203</v>
      </c>
      <c r="K7672" s="5"/>
    </row>
    <row r="7673">
      <c r="A7673" s="3" t="s">
        <v>7749</v>
      </c>
      <c r="B7673" s="3" t="s">
        <v>7685</v>
      </c>
      <c r="C7673" s="3" t="s">
        <v>7751</v>
      </c>
      <c r="D7673" s="4" t="str">
        <f t="shared" si="606"/>
        <v>12Go Link</v>
      </c>
      <c r="E7673" s="3" t="s">
        <v>3197</v>
      </c>
      <c r="K7673" s="5"/>
    </row>
    <row r="7674">
      <c r="A7674" s="3" t="s">
        <v>7749</v>
      </c>
      <c r="B7674" s="3" t="s">
        <v>7689</v>
      </c>
      <c r="C7674" s="3" t="s">
        <v>7752</v>
      </c>
      <c r="D7674" s="4" t="str">
        <f t="shared" ref="D7674:D7675" si="607">HYPERLINK("https://12go.asia/en/travel/Balapitiya/Negombo", "12Go Link")</f>
        <v>12Go Link</v>
      </c>
      <c r="E7674" s="3" t="s">
        <v>3203</v>
      </c>
      <c r="K7674" s="5"/>
    </row>
    <row r="7675">
      <c r="A7675" s="3" t="s">
        <v>7749</v>
      </c>
      <c r="B7675" s="3" t="s">
        <v>7689</v>
      </c>
      <c r="C7675" s="3" t="s">
        <v>7752</v>
      </c>
      <c r="D7675" s="4" t="str">
        <f t="shared" si="607"/>
        <v>12Go Link</v>
      </c>
      <c r="E7675" s="3" t="s">
        <v>3197</v>
      </c>
      <c r="K7675" s="5"/>
    </row>
    <row r="7676">
      <c r="A7676" s="3" t="s">
        <v>7749</v>
      </c>
      <c r="B7676" s="3" t="s">
        <v>7695</v>
      </c>
      <c r="C7676" s="3" t="s">
        <v>7753</v>
      </c>
      <c r="D7676" s="4" t="str">
        <f t="shared" ref="D7676:D7677" si="608">HYPERLINK("https://12go.asia/en/travel/Balapitiya/Tissamaharama", "12Go Link")</f>
        <v>12Go Link</v>
      </c>
      <c r="E7676" s="3" t="s">
        <v>3203</v>
      </c>
      <c r="K7676" s="5"/>
    </row>
    <row r="7677">
      <c r="A7677" s="3" t="s">
        <v>7749</v>
      </c>
      <c r="B7677" s="3" t="s">
        <v>7695</v>
      </c>
      <c r="C7677" s="3" t="s">
        <v>7753</v>
      </c>
      <c r="D7677" s="4" t="str">
        <f t="shared" si="608"/>
        <v>12Go Link</v>
      </c>
      <c r="E7677" s="3" t="s">
        <v>3197</v>
      </c>
      <c r="K7677" s="5"/>
    </row>
    <row r="7678">
      <c r="A7678" s="3" t="s">
        <v>7749</v>
      </c>
      <c r="B7678" s="3" t="s">
        <v>7695</v>
      </c>
      <c r="C7678" s="3" t="s">
        <v>7754</v>
      </c>
      <c r="D7678" s="4" t="str">
        <f t="shared" ref="D7678:D7679" si="609">HYPERLINK("https://12go.asia/en/travel/Balapitiya/Yala-Park", "12Go Link")</f>
        <v>12Go Link</v>
      </c>
      <c r="E7678" s="3" t="s">
        <v>3203</v>
      </c>
      <c r="K7678" s="5"/>
    </row>
    <row r="7679">
      <c r="A7679" s="3" t="s">
        <v>7749</v>
      </c>
      <c r="B7679" s="3" t="s">
        <v>7695</v>
      </c>
      <c r="C7679" s="3" t="s">
        <v>7754</v>
      </c>
      <c r="D7679" s="4" t="str">
        <f t="shared" si="609"/>
        <v>12Go Link</v>
      </c>
      <c r="E7679" s="3" t="s">
        <v>3197</v>
      </c>
      <c r="K7679" s="5"/>
    </row>
    <row r="7680">
      <c r="A7680" s="3" t="s">
        <v>7755</v>
      </c>
      <c r="B7680" s="3" t="s">
        <v>7706</v>
      </c>
      <c r="C7680" s="3" t="s">
        <v>7756</v>
      </c>
      <c r="D7680" s="4" t="str">
        <f t="shared" ref="D7680:D7681" si="610">HYPERLINK("https://12go.asia/en/travel/Bentota/Colombo", "12Go Link")</f>
        <v>12Go Link</v>
      </c>
      <c r="E7680" s="3" t="s">
        <v>3203</v>
      </c>
      <c r="K7680" s="5"/>
    </row>
    <row r="7681">
      <c r="A7681" s="3" t="s">
        <v>7755</v>
      </c>
      <c r="B7681" s="3" t="s">
        <v>7706</v>
      </c>
      <c r="C7681" s="3" t="s">
        <v>7756</v>
      </c>
      <c r="D7681" s="4" t="str">
        <f t="shared" si="610"/>
        <v>12Go Link</v>
      </c>
      <c r="E7681" s="3" t="s">
        <v>3197</v>
      </c>
      <c r="K7681" s="5"/>
    </row>
    <row r="7682">
      <c r="A7682" s="3" t="s">
        <v>7755</v>
      </c>
      <c r="B7682" s="3" t="s">
        <v>7708</v>
      </c>
      <c r="C7682" s="3" t="s">
        <v>7757</v>
      </c>
      <c r="D7682" s="4" t="str">
        <f t="shared" ref="D7682:D7684" si="611">HYPERLINK("https://12go.asia/en/travel/Bentota/Katunayake", "12Go Link")</f>
        <v>12Go Link</v>
      </c>
      <c r="E7682" s="3" t="s">
        <v>222</v>
      </c>
      <c r="K7682" s="5"/>
    </row>
    <row r="7683">
      <c r="A7683" s="3" t="s">
        <v>7755</v>
      </c>
      <c r="B7683" s="3" t="s">
        <v>7708</v>
      </c>
      <c r="C7683" s="3" t="s">
        <v>7757</v>
      </c>
      <c r="D7683" s="4" t="str">
        <f t="shared" si="611"/>
        <v>12Go Link</v>
      </c>
      <c r="E7683" s="3" t="s">
        <v>3203</v>
      </c>
      <c r="K7683" s="5"/>
    </row>
    <row r="7684">
      <c r="A7684" s="3" t="s">
        <v>7755</v>
      </c>
      <c r="B7684" s="3" t="s">
        <v>7708</v>
      </c>
      <c r="C7684" s="3" t="s">
        <v>7757</v>
      </c>
      <c r="D7684" s="4" t="str">
        <f t="shared" si="611"/>
        <v>12Go Link</v>
      </c>
      <c r="E7684" s="3" t="s">
        <v>3197</v>
      </c>
      <c r="K7684" s="5"/>
    </row>
    <row r="7685">
      <c r="A7685" s="3" t="s">
        <v>7755</v>
      </c>
      <c r="B7685" s="3" t="s">
        <v>7685</v>
      </c>
      <c r="C7685" s="3" t="s">
        <v>7758</v>
      </c>
      <c r="D7685" s="4" t="str">
        <f t="shared" ref="D7685:D7686" si="612">HYPERLINK("https://12go.asia/en/travel/Bentota/Ella", "12Go Link")</f>
        <v>12Go Link</v>
      </c>
      <c r="E7685" s="3" t="s">
        <v>222</v>
      </c>
      <c r="K7685" s="5"/>
    </row>
    <row r="7686">
      <c r="A7686" s="3" t="s">
        <v>7755</v>
      </c>
      <c r="B7686" s="3" t="s">
        <v>7685</v>
      </c>
      <c r="C7686" s="3" t="s">
        <v>7758</v>
      </c>
      <c r="D7686" s="4" t="str">
        <f t="shared" si="612"/>
        <v>12Go Link</v>
      </c>
      <c r="E7686" s="3" t="s">
        <v>3203</v>
      </c>
      <c r="K7686" s="5"/>
    </row>
    <row r="7687">
      <c r="A7687" s="3" t="s">
        <v>7755</v>
      </c>
      <c r="B7687" s="3" t="s">
        <v>7695</v>
      </c>
      <c r="C7687" s="3" t="s">
        <v>7759</v>
      </c>
      <c r="D7687" s="4" t="str">
        <f t="shared" ref="D7687:D7688" si="613">HYPERLINK("https://12go.asia/en/travel/Bentota/Tissamaharama", "12Go Link")</f>
        <v>12Go Link</v>
      </c>
      <c r="E7687" s="3" t="s">
        <v>3203</v>
      </c>
      <c r="K7687" s="5"/>
    </row>
    <row r="7688">
      <c r="A7688" s="3" t="s">
        <v>7755</v>
      </c>
      <c r="B7688" s="3" t="s">
        <v>7695</v>
      </c>
      <c r="C7688" s="3" t="s">
        <v>7759</v>
      </c>
      <c r="D7688" s="4" t="str">
        <f t="shared" si="613"/>
        <v>12Go Link</v>
      </c>
      <c r="E7688" s="3" t="s">
        <v>3197</v>
      </c>
      <c r="K7688" s="5"/>
    </row>
    <row r="7689">
      <c r="A7689" s="3" t="s">
        <v>7760</v>
      </c>
      <c r="B7689" s="3" t="s">
        <v>7706</v>
      </c>
      <c r="C7689" s="3" t="s">
        <v>7761</v>
      </c>
      <c r="D7689" s="4" t="str">
        <f t="shared" ref="D7689:D7691" si="614">HYPERLINK("https://12go.asia/en/travel/Beruwala/Colombo", "12Go Link")</f>
        <v>12Go Link</v>
      </c>
      <c r="E7689" s="3" t="s">
        <v>222</v>
      </c>
      <c r="K7689" s="5"/>
    </row>
    <row r="7690">
      <c r="A7690" s="3" t="s">
        <v>7760</v>
      </c>
      <c r="B7690" s="3" t="s">
        <v>7706</v>
      </c>
      <c r="C7690" s="3" t="s">
        <v>7761</v>
      </c>
      <c r="D7690" s="4" t="str">
        <f t="shared" si="614"/>
        <v>12Go Link</v>
      </c>
      <c r="E7690" s="3" t="s">
        <v>3203</v>
      </c>
      <c r="K7690" s="5"/>
    </row>
    <row r="7691">
      <c r="A7691" s="3" t="s">
        <v>7760</v>
      </c>
      <c r="B7691" s="3" t="s">
        <v>7706</v>
      </c>
      <c r="C7691" s="3" t="s">
        <v>7761</v>
      </c>
      <c r="D7691" s="4" t="str">
        <f t="shared" si="614"/>
        <v>12Go Link</v>
      </c>
      <c r="E7691" s="3" t="s">
        <v>3197</v>
      </c>
      <c r="K7691" s="5"/>
    </row>
    <row r="7692">
      <c r="A7692" s="3" t="s">
        <v>7760</v>
      </c>
      <c r="B7692" s="3" t="s">
        <v>7708</v>
      </c>
      <c r="C7692" s="3" t="s">
        <v>7762</v>
      </c>
      <c r="D7692" s="4" t="str">
        <f t="shared" ref="D7692:D7694" si="615">HYPERLINK("https://12go.asia/en/travel/Beruwala/Katunayake", "12Go Link")</f>
        <v>12Go Link</v>
      </c>
      <c r="E7692" s="3" t="s">
        <v>222</v>
      </c>
      <c r="K7692" s="5"/>
    </row>
    <row r="7693">
      <c r="A7693" s="3" t="s">
        <v>7760</v>
      </c>
      <c r="B7693" s="3" t="s">
        <v>7708</v>
      </c>
      <c r="C7693" s="3" t="s">
        <v>7762</v>
      </c>
      <c r="D7693" s="4" t="str">
        <f t="shared" si="615"/>
        <v>12Go Link</v>
      </c>
      <c r="E7693" s="3" t="s">
        <v>3203</v>
      </c>
      <c r="K7693" s="5"/>
    </row>
    <row r="7694">
      <c r="A7694" s="3" t="s">
        <v>7760</v>
      </c>
      <c r="B7694" s="3" t="s">
        <v>7708</v>
      </c>
      <c r="C7694" s="3" t="s">
        <v>7762</v>
      </c>
      <c r="D7694" s="4" t="str">
        <f t="shared" si="615"/>
        <v>12Go Link</v>
      </c>
      <c r="E7694" s="3" t="s">
        <v>3197</v>
      </c>
      <c r="K7694" s="5"/>
    </row>
    <row r="7695">
      <c r="A7695" s="3" t="s">
        <v>7760</v>
      </c>
      <c r="B7695" s="3" t="s">
        <v>7685</v>
      </c>
      <c r="C7695" s="3" t="s">
        <v>7763</v>
      </c>
      <c r="D7695" s="4" t="str">
        <f t="shared" ref="D7695:D7697" si="616">HYPERLINK("https://12go.asia/en/travel/Beruwala/Ella", "12Go Link")</f>
        <v>12Go Link</v>
      </c>
      <c r="E7695" s="3" t="s">
        <v>222</v>
      </c>
      <c r="K7695" s="5"/>
    </row>
    <row r="7696">
      <c r="A7696" s="3" t="s">
        <v>7760</v>
      </c>
      <c r="B7696" s="3" t="s">
        <v>7685</v>
      </c>
      <c r="C7696" s="3" t="s">
        <v>7763</v>
      </c>
      <c r="D7696" s="4" t="str">
        <f t="shared" si="616"/>
        <v>12Go Link</v>
      </c>
      <c r="E7696" s="3" t="s">
        <v>3203</v>
      </c>
      <c r="K7696" s="5"/>
    </row>
    <row r="7697">
      <c r="A7697" s="3" t="s">
        <v>7760</v>
      </c>
      <c r="B7697" s="3" t="s">
        <v>7685</v>
      </c>
      <c r="C7697" s="3" t="s">
        <v>7763</v>
      </c>
      <c r="D7697" s="4" t="str">
        <f t="shared" si="616"/>
        <v>12Go Link</v>
      </c>
      <c r="E7697" s="3" t="s">
        <v>3197</v>
      </c>
      <c r="K7697" s="5"/>
    </row>
    <row r="7698">
      <c r="A7698" s="3" t="s">
        <v>7760</v>
      </c>
      <c r="B7698" s="3" t="s">
        <v>7689</v>
      </c>
      <c r="C7698" s="3" t="s">
        <v>7764</v>
      </c>
      <c r="D7698" s="4" t="str">
        <f t="shared" ref="D7698:D7699" si="617">HYPERLINK("https://12go.asia/en/travel/Beruwala/Negombo", "12Go Link")</f>
        <v>12Go Link</v>
      </c>
      <c r="E7698" s="3" t="s">
        <v>222</v>
      </c>
      <c r="K7698" s="5"/>
    </row>
    <row r="7699">
      <c r="A7699" s="3" t="s">
        <v>7760</v>
      </c>
      <c r="B7699" s="3" t="s">
        <v>7689</v>
      </c>
      <c r="C7699" s="3" t="s">
        <v>7764</v>
      </c>
      <c r="D7699" s="4" t="str">
        <f t="shared" si="617"/>
        <v>12Go Link</v>
      </c>
      <c r="E7699" s="3" t="s">
        <v>3203</v>
      </c>
      <c r="K7699" s="5"/>
    </row>
    <row r="7700">
      <c r="A7700" s="3" t="s">
        <v>7760</v>
      </c>
      <c r="B7700" s="3" t="s">
        <v>7695</v>
      </c>
      <c r="C7700" s="3" t="s">
        <v>7765</v>
      </c>
      <c r="D7700" s="4" t="str">
        <f t="shared" ref="D7700:D7702" si="618">HYPERLINK("https://12go.asia/en/travel/Beruwala/Tissamaharama", "12Go Link")</f>
        <v>12Go Link</v>
      </c>
      <c r="E7700" s="3" t="s">
        <v>222</v>
      </c>
      <c r="K7700" s="5"/>
    </row>
    <row r="7701">
      <c r="A7701" s="3" t="s">
        <v>7760</v>
      </c>
      <c r="B7701" s="3" t="s">
        <v>7695</v>
      </c>
      <c r="C7701" s="3" t="s">
        <v>7765</v>
      </c>
      <c r="D7701" s="4" t="str">
        <f t="shared" si="618"/>
        <v>12Go Link</v>
      </c>
      <c r="E7701" s="3" t="s">
        <v>3203</v>
      </c>
      <c r="K7701" s="5"/>
    </row>
    <row r="7702">
      <c r="A7702" s="3" t="s">
        <v>7760</v>
      </c>
      <c r="B7702" s="3" t="s">
        <v>7695</v>
      </c>
      <c r="C7702" s="3" t="s">
        <v>7765</v>
      </c>
      <c r="D7702" s="4" t="str">
        <f t="shared" si="618"/>
        <v>12Go Link</v>
      </c>
      <c r="E7702" s="3" t="s">
        <v>3197</v>
      </c>
      <c r="K7702" s="5"/>
    </row>
    <row r="7703">
      <c r="A7703" s="3" t="s">
        <v>7760</v>
      </c>
      <c r="B7703" s="3" t="s">
        <v>7695</v>
      </c>
      <c r="C7703" s="3" t="s">
        <v>7766</v>
      </c>
      <c r="D7703" s="4" t="str">
        <f t="shared" ref="D7703:D7705" si="619">HYPERLINK("https://12go.asia/en/travel/Beruwala/Yala-Park", "12Go Link")</f>
        <v>12Go Link</v>
      </c>
      <c r="E7703" s="3" t="s">
        <v>222</v>
      </c>
      <c r="K7703" s="5"/>
    </row>
    <row r="7704">
      <c r="A7704" s="3" t="s">
        <v>7760</v>
      </c>
      <c r="B7704" s="3" t="s">
        <v>7695</v>
      </c>
      <c r="C7704" s="3" t="s">
        <v>7766</v>
      </c>
      <c r="D7704" s="4" t="str">
        <f t="shared" si="619"/>
        <v>12Go Link</v>
      </c>
      <c r="E7704" s="3" t="s">
        <v>3203</v>
      </c>
      <c r="K7704" s="5"/>
    </row>
    <row r="7705">
      <c r="A7705" s="3" t="s">
        <v>7760</v>
      </c>
      <c r="B7705" s="3" t="s">
        <v>7695</v>
      </c>
      <c r="C7705" s="3" t="s">
        <v>7766</v>
      </c>
      <c r="D7705" s="4" t="str">
        <f t="shared" si="619"/>
        <v>12Go Link</v>
      </c>
      <c r="E7705" s="3" t="s">
        <v>3197</v>
      </c>
      <c r="K7705" s="5"/>
    </row>
    <row r="7706">
      <c r="A7706" s="3" t="s">
        <v>7767</v>
      </c>
      <c r="B7706" s="3" t="s">
        <v>7685</v>
      </c>
      <c r="C7706" s="3" t="s">
        <v>7768</v>
      </c>
      <c r="D7706" s="4" t="str">
        <f t="shared" ref="D7706:D7708" si="620">HYPERLINK("https://12go.asia/en/travel/Bundala/Ella", "12Go Link")</f>
        <v>12Go Link</v>
      </c>
      <c r="E7706" s="3" t="s">
        <v>222</v>
      </c>
      <c r="K7706" s="5"/>
    </row>
    <row r="7707">
      <c r="A7707" s="3" t="s">
        <v>7767</v>
      </c>
      <c r="B7707" s="3" t="s">
        <v>7685</v>
      </c>
      <c r="C7707" s="3" t="s">
        <v>7768</v>
      </c>
      <c r="D7707" s="4" t="str">
        <f t="shared" si="620"/>
        <v>12Go Link</v>
      </c>
      <c r="E7707" s="3" t="s">
        <v>3203</v>
      </c>
      <c r="K7707" s="5"/>
    </row>
    <row r="7708">
      <c r="A7708" s="3" t="s">
        <v>7767</v>
      </c>
      <c r="B7708" s="3" t="s">
        <v>7685</v>
      </c>
      <c r="C7708" s="3" t="s">
        <v>7768</v>
      </c>
      <c r="D7708" s="4" t="str">
        <f t="shared" si="620"/>
        <v>12Go Link</v>
      </c>
      <c r="E7708" s="3" t="s">
        <v>3197</v>
      </c>
      <c r="K7708" s="5"/>
    </row>
    <row r="7709">
      <c r="A7709" s="3" t="s">
        <v>7706</v>
      </c>
      <c r="B7709" s="3" t="s">
        <v>7682</v>
      </c>
      <c r="C7709" s="3" t="s">
        <v>7769</v>
      </c>
      <c r="D7709" s="4" t="str">
        <f t="shared" ref="D7709:D7710" si="621">HYPERLINK("https://12go.asia/en/travel/Colombo/Ahangama", "12Go Link")</f>
        <v>12Go Link</v>
      </c>
      <c r="E7709" s="3" t="s">
        <v>3203</v>
      </c>
      <c r="K7709" s="5"/>
    </row>
    <row r="7710">
      <c r="A7710" s="3" t="s">
        <v>7706</v>
      </c>
      <c r="B7710" s="3" t="s">
        <v>7682</v>
      </c>
      <c r="C7710" s="3" t="s">
        <v>7769</v>
      </c>
      <c r="D7710" s="4" t="str">
        <f t="shared" si="621"/>
        <v>12Go Link</v>
      </c>
      <c r="E7710" s="3" t="s">
        <v>3197</v>
      </c>
      <c r="K7710" s="5"/>
    </row>
    <row r="7711">
      <c r="A7711" s="3" t="s">
        <v>7706</v>
      </c>
      <c r="B7711" s="3" t="s">
        <v>7705</v>
      </c>
      <c r="C7711" s="3" t="s">
        <v>7770</v>
      </c>
      <c r="D7711" s="4" t="str">
        <f t="shared" ref="D7711:D7712" si="622">HYPERLINK("https://12go.asia/en/travel/Colombo/Aluthgama", "12Go Link")</f>
        <v>12Go Link</v>
      </c>
      <c r="E7711" s="3" t="s">
        <v>222</v>
      </c>
      <c r="K7711" s="5"/>
    </row>
    <row r="7712">
      <c r="A7712" s="3" t="s">
        <v>7706</v>
      </c>
      <c r="B7712" s="3" t="s">
        <v>7705</v>
      </c>
      <c r="C7712" s="3" t="s">
        <v>7770</v>
      </c>
      <c r="D7712" s="4" t="str">
        <f t="shared" si="622"/>
        <v>12Go Link</v>
      </c>
      <c r="E7712" s="3" t="s">
        <v>3203</v>
      </c>
      <c r="K7712" s="5"/>
    </row>
    <row r="7713">
      <c r="A7713" s="3" t="s">
        <v>7706</v>
      </c>
      <c r="B7713" s="3" t="s">
        <v>7718</v>
      </c>
      <c r="C7713" s="3" t="s">
        <v>7771</v>
      </c>
      <c r="D7713" s="4" t="str">
        <f t="shared" ref="D7713:D7714" si="623">HYPERLINK("https://12go.asia/en/travel/Colombo/Ambalangoda", "12Go Link")</f>
        <v>12Go Link</v>
      </c>
      <c r="E7713" s="3" t="s">
        <v>3203</v>
      </c>
      <c r="K7713" s="5"/>
    </row>
    <row r="7714">
      <c r="A7714" s="3" t="s">
        <v>7706</v>
      </c>
      <c r="B7714" s="3" t="s">
        <v>7718</v>
      </c>
      <c r="C7714" s="3" t="s">
        <v>7771</v>
      </c>
      <c r="D7714" s="4" t="str">
        <f t="shared" si="623"/>
        <v>12Go Link</v>
      </c>
      <c r="E7714" s="3" t="s">
        <v>3197</v>
      </c>
      <c r="K7714" s="5"/>
    </row>
    <row r="7715">
      <c r="A7715" s="3" t="s">
        <v>7706</v>
      </c>
      <c r="B7715" s="3" t="s">
        <v>7728</v>
      </c>
      <c r="C7715" s="3" t="s">
        <v>7772</v>
      </c>
      <c r="D7715" s="4" t="str">
        <f t="shared" ref="D7715:D7716" si="624">HYPERLINK("https://12go.asia/en/travel/Colombo/Ambalantota", "12Go Link")</f>
        <v>12Go Link</v>
      </c>
      <c r="E7715" s="3" t="s">
        <v>3203</v>
      </c>
      <c r="K7715" s="5"/>
    </row>
    <row r="7716">
      <c r="A7716" s="3" t="s">
        <v>7706</v>
      </c>
      <c r="B7716" s="3" t="s">
        <v>7728</v>
      </c>
      <c r="C7716" s="3" t="s">
        <v>7772</v>
      </c>
      <c r="D7716" s="4" t="str">
        <f t="shared" si="624"/>
        <v>12Go Link</v>
      </c>
      <c r="E7716" s="3" t="s">
        <v>3197</v>
      </c>
      <c r="K7716" s="5"/>
    </row>
    <row r="7717">
      <c r="A7717" s="3" t="s">
        <v>7706</v>
      </c>
      <c r="B7717" s="3" t="s">
        <v>7749</v>
      </c>
      <c r="C7717" s="3" t="s">
        <v>7773</v>
      </c>
      <c r="D7717" s="4" t="str">
        <f t="shared" ref="D7717:D7718" si="625">HYPERLINK("https://12go.asia/en/travel/Colombo/Balapitiya", "12Go Link")</f>
        <v>12Go Link</v>
      </c>
      <c r="E7717" s="3" t="s">
        <v>3203</v>
      </c>
      <c r="K7717" s="5"/>
    </row>
    <row r="7718">
      <c r="A7718" s="3" t="s">
        <v>7706</v>
      </c>
      <c r="B7718" s="3" t="s">
        <v>7749</v>
      </c>
      <c r="C7718" s="3" t="s">
        <v>7773</v>
      </c>
      <c r="D7718" s="4" t="str">
        <f t="shared" si="625"/>
        <v>12Go Link</v>
      </c>
      <c r="E7718" s="3" t="s">
        <v>3197</v>
      </c>
      <c r="K7718" s="5"/>
    </row>
    <row r="7719">
      <c r="A7719" s="3" t="s">
        <v>7706</v>
      </c>
      <c r="B7719" s="3" t="s">
        <v>7774</v>
      </c>
      <c r="C7719" s="3" t="s">
        <v>7775</v>
      </c>
      <c r="D7719" s="4" t="str">
        <f t="shared" ref="D7719:D7721" si="626">HYPERLINK("https://12go.asia/en/travel/Colombo/Batticaloa", "12Go Link")</f>
        <v>12Go Link</v>
      </c>
      <c r="E7719" s="3" t="s">
        <v>222</v>
      </c>
      <c r="K7719" s="5"/>
    </row>
    <row r="7720">
      <c r="A7720" s="3" t="s">
        <v>7706</v>
      </c>
      <c r="B7720" s="3" t="s">
        <v>7774</v>
      </c>
      <c r="C7720" s="3" t="s">
        <v>7775</v>
      </c>
      <c r="D7720" s="4" t="str">
        <f t="shared" si="626"/>
        <v>12Go Link</v>
      </c>
      <c r="E7720" s="3" t="s">
        <v>3203</v>
      </c>
      <c r="K7720" s="5"/>
    </row>
    <row r="7721">
      <c r="A7721" s="3" t="s">
        <v>7706</v>
      </c>
      <c r="B7721" s="3" t="s">
        <v>7774</v>
      </c>
      <c r="C7721" s="3" t="s">
        <v>7775</v>
      </c>
      <c r="D7721" s="4" t="str">
        <f t="shared" si="626"/>
        <v>12Go Link</v>
      </c>
      <c r="E7721" s="3" t="s">
        <v>3197</v>
      </c>
      <c r="K7721" s="5"/>
    </row>
    <row r="7722">
      <c r="A7722" s="3" t="s">
        <v>7706</v>
      </c>
      <c r="B7722" s="3" t="s">
        <v>7760</v>
      </c>
      <c r="C7722" s="3" t="s">
        <v>7776</v>
      </c>
      <c r="D7722" s="4" t="str">
        <f t="shared" ref="D7722:D7724" si="627">HYPERLINK("https://12go.asia/en/travel/Colombo/Beruwala", "12Go Link")</f>
        <v>12Go Link</v>
      </c>
      <c r="E7722" s="3" t="s">
        <v>222</v>
      </c>
      <c r="K7722" s="5"/>
    </row>
    <row r="7723">
      <c r="A7723" s="3" t="s">
        <v>7706</v>
      </c>
      <c r="B7723" s="3" t="s">
        <v>7760</v>
      </c>
      <c r="C7723" s="3" t="s">
        <v>7776</v>
      </c>
      <c r="D7723" s="4" t="str">
        <f t="shared" si="627"/>
        <v>12Go Link</v>
      </c>
      <c r="E7723" s="3" t="s">
        <v>3203</v>
      </c>
      <c r="K7723" s="5"/>
    </row>
    <row r="7724">
      <c r="A7724" s="3" t="s">
        <v>7706</v>
      </c>
      <c r="B7724" s="3" t="s">
        <v>7760</v>
      </c>
      <c r="C7724" s="3" t="s">
        <v>7776</v>
      </c>
      <c r="D7724" s="4" t="str">
        <f t="shared" si="627"/>
        <v>12Go Link</v>
      </c>
      <c r="E7724" s="3" t="s">
        <v>3197</v>
      </c>
      <c r="K7724" s="5"/>
    </row>
    <row r="7725">
      <c r="A7725" s="3" t="s">
        <v>7706</v>
      </c>
      <c r="B7725" s="3" t="s">
        <v>7767</v>
      </c>
      <c r="C7725" s="3" t="s">
        <v>7777</v>
      </c>
      <c r="D7725" s="4" t="str">
        <f t="shared" ref="D7725:D7727" si="628">HYPERLINK("https://12go.asia/en/travel/Colombo/Bundala", "12Go Link")</f>
        <v>12Go Link</v>
      </c>
      <c r="E7725" s="3" t="s">
        <v>222</v>
      </c>
      <c r="K7725" s="5"/>
    </row>
    <row r="7726">
      <c r="A7726" s="3" t="s">
        <v>7706</v>
      </c>
      <c r="B7726" s="3" t="s">
        <v>7767</v>
      </c>
      <c r="C7726" s="3" t="s">
        <v>7777</v>
      </c>
      <c r="D7726" s="4" t="str">
        <f t="shared" si="628"/>
        <v>12Go Link</v>
      </c>
      <c r="E7726" s="3" t="s">
        <v>3203</v>
      </c>
      <c r="K7726" s="5"/>
    </row>
    <row r="7727">
      <c r="A7727" s="3" t="s">
        <v>7706</v>
      </c>
      <c r="B7727" s="3" t="s">
        <v>7767</v>
      </c>
      <c r="C7727" s="3" t="s">
        <v>7777</v>
      </c>
      <c r="D7727" s="4" t="str">
        <f t="shared" si="628"/>
        <v>12Go Link</v>
      </c>
      <c r="E7727" s="3" t="s">
        <v>3197</v>
      </c>
      <c r="K7727" s="5"/>
    </row>
    <row r="7728">
      <c r="A7728" s="3" t="s">
        <v>7706</v>
      </c>
      <c r="B7728" s="3" t="s">
        <v>7708</v>
      </c>
      <c r="C7728" s="3" t="s">
        <v>7778</v>
      </c>
      <c r="D7728" s="4" t="str">
        <f t="shared" ref="D7728:D7730" si="629">HYPERLINK("https://12go.asia/en/travel/Colombo/Katunayake", "12Go Link")</f>
        <v>12Go Link</v>
      </c>
      <c r="E7728" s="3" t="s">
        <v>222</v>
      </c>
      <c r="K7728" s="5"/>
    </row>
    <row r="7729">
      <c r="A7729" s="3" t="s">
        <v>7706</v>
      </c>
      <c r="B7729" s="3" t="s">
        <v>7708</v>
      </c>
      <c r="C7729" s="3" t="s">
        <v>7778</v>
      </c>
      <c r="D7729" s="4" t="str">
        <f t="shared" si="629"/>
        <v>12Go Link</v>
      </c>
      <c r="E7729" s="3" t="s">
        <v>3203</v>
      </c>
      <c r="K7729" s="5"/>
    </row>
    <row r="7730">
      <c r="A7730" s="3" t="s">
        <v>7706</v>
      </c>
      <c r="B7730" s="3" t="s">
        <v>7708</v>
      </c>
      <c r="C7730" s="3" t="s">
        <v>7778</v>
      </c>
      <c r="D7730" s="4" t="str">
        <f t="shared" si="629"/>
        <v>12Go Link</v>
      </c>
      <c r="E7730" s="3" t="s">
        <v>3197</v>
      </c>
      <c r="K7730" s="5"/>
    </row>
    <row r="7731">
      <c r="A7731" s="3" t="s">
        <v>7706</v>
      </c>
      <c r="B7731" s="3" t="s">
        <v>7683</v>
      </c>
      <c r="C7731" s="3" t="s">
        <v>7779</v>
      </c>
      <c r="D7731" s="4" t="str">
        <f t="shared" ref="D7731:D7733" si="630">HYPERLINK("https://12go.asia/en/travel/Colombo/Dambulla", "12Go Link")</f>
        <v>12Go Link</v>
      </c>
      <c r="E7731" s="3" t="s">
        <v>222</v>
      </c>
      <c r="K7731" s="5"/>
    </row>
    <row r="7732">
      <c r="A7732" s="3" t="s">
        <v>7706</v>
      </c>
      <c r="B7732" s="3" t="s">
        <v>7683</v>
      </c>
      <c r="C7732" s="3" t="s">
        <v>7779</v>
      </c>
      <c r="D7732" s="4" t="str">
        <f t="shared" si="630"/>
        <v>12Go Link</v>
      </c>
      <c r="E7732" s="3" t="s">
        <v>3203</v>
      </c>
      <c r="K7732" s="5"/>
    </row>
    <row r="7733">
      <c r="A7733" s="3" t="s">
        <v>7706</v>
      </c>
      <c r="B7733" s="3" t="s">
        <v>7683</v>
      </c>
      <c r="C7733" s="3" t="s">
        <v>7779</v>
      </c>
      <c r="D7733" s="4" t="str">
        <f t="shared" si="630"/>
        <v>12Go Link</v>
      </c>
      <c r="E7733" s="3" t="s">
        <v>3197</v>
      </c>
      <c r="K7733" s="5"/>
    </row>
    <row r="7734">
      <c r="A7734" s="3" t="s">
        <v>7706</v>
      </c>
      <c r="B7734" s="3" t="s">
        <v>7780</v>
      </c>
      <c r="C7734" s="3" t="s">
        <v>7781</v>
      </c>
      <c r="D7734" s="4" t="str">
        <f t="shared" ref="D7734:D7735" si="631">HYPERLINK("https://12go.asia/en/travel/Colombo/Dikwella", "12Go Link")</f>
        <v>12Go Link</v>
      </c>
      <c r="E7734" s="3" t="s">
        <v>222</v>
      </c>
      <c r="K7734" s="5"/>
    </row>
    <row r="7735">
      <c r="A7735" s="3" t="s">
        <v>7706</v>
      </c>
      <c r="B7735" s="3" t="s">
        <v>7780</v>
      </c>
      <c r="C7735" s="3" t="s">
        <v>7781</v>
      </c>
      <c r="D7735" s="4" t="str">
        <f t="shared" si="631"/>
        <v>12Go Link</v>
      </c>
      <c r="E7735" s="3" t="s">
        <v>3197</v>
      </c>
      <c r="K7735" s="5"/>
    </row>
    <row r="7736">
      <c r="A7736" s="3" t="s">
        <v>7706</v>
      </c>
      <c r="B7736" s="3" t="s">
        <v>7685</v>
      </c>
      <c r="C7736" s="3" t="s">
        <v>7782</v>
      </c>
      <c r="D7736" s="4" t="str">
        <f t="shared" ref="D7736:D7738" si="632">HYPERLINK("https://12go.asia/en/travel/Colombo/Ella", "12Go Link")</f>
        <v>12Go Link</v>
      </c>
      <c r="E7736" s="3" t="s">
        <v>222</v>
      </c>
      <c r="K7736" s="5"/>
    </row>
    <row r="7737">
      <c r="A7737" s="3" t="s">
        <v>7706</v>
      </c>
      <c r="B7737" s="3" t="s">
        <v>7685</v>
      </c>
      <c r="C7737" s="3" t="s">
        <v>7782</v>
      </c>
      <c r="D7737" s="4" t="str">
        <f t="shared" si="632"/>
        <v>12Go Link</v>
      </c>
      <c r="E7737" s="3" t="s">
        <v>3203</v>
      </c>
      <c r="K7737" s="5"/>
    </row>
    <row r="7738">
      <c r="A7738" s="3" t="s">
        <v>7706</v>
      </c>
      <c r="B7738" s="3" t="s">
        <v>7685</v>
      </c>
      <c r="C7738" s="3" t="s">
        <v>7782</v>
      </c>
      <c r="D7738" s="4" t="str">
        <f t="shared" si="632"/>
        <v>12Go Link</v>
      </c>
      <c r="E7738" s="3" t="s">
        <v>3197</v>
      </c>
      <c r="K7738" s="5"/>
    </row>
    <row r="7739">
      <c r="A7739" s="3" t="s">
        <v>7706</v>
      </c>
      <c r="B7739" s="3" t="s">
        <v>7783</v>
      </c>
      <c r="C7739" s="3" t="s">
        <v>7784</v>
      </c>
      <c r="D7739" s="4" t="str">
        <f t="shared" ref="D7739:D7740" si="633">HYPERLINK("https://12go.asia/en/travel/Colombo/Talpe", "12Go Link")</f>
        <v>12Go Link</v>
      </c>
      <c r="E7739" s="3" t="s">
        <v>3203</v>
      </c>
      <c r="K7739" s="5"/>
    </row>
    <row r="7740">
      <c r="A7740" s="3" t="s">
        <v>7706</v>
      </c>
      <c r="B7740" s="3" t="s">
        <v>7783</v>
      </c>
      <c r="C7740" s="3" t="s">
        <v>7784</v>
      </c>
      <c r="D7740" s="4" t="str">
        <f t="shared" si="633"/>
        <v>12Go Link</v>
      </c>
      <c r="E7740" s="3" t="s">
        <v>3197</v>
      </c>
      <c r="K7740" s="5"/>
    </row>
    <row r="7741">
      <c r="A7741" s="3" t="s">
        <v>7706</v>
      </c>
      <c r="B7741" s="3" t="s">
        <v>7743</v>
      </c>
      <c r="C7741" s="3" t="s">
        <v>7785</v>
      </c>
      <c r="D7741" s="4" t="str">
        <f t="shared" ref="D7741:D7743" si="634">HYPERLINK("https://12go.asia/en/travel/Colombo/Habarana", "12Go Link")</f>
        <v>12Go Link</v>
      </c>
      <c r="E7741" s="3" t="s">
        <v>222</v>
      </c>
      <c r="K7741" s="5"/>
    </row>
    <row r="7742">
      <c r="A7742" s="3" t="s">
        <v>7706</v>
      </c>
      <c r="B7742" s="3" t="s">
        <v>7743</v>
      </c>
      <c r="C7742" s="3" t="s">
        <v>7785</v>
      </c>
      <c r="D7742" s="4" t="str">
        <f t="shared" si="634"/>
        <v>12Go Link</v>
      </c>
      <c r="E7742" s="3" t="s">
        <v>3203</v>
      </c>
      <c r="K7742" s="5"/>
    </row>
    <row r="7743">
      <c r="A7743" s="3" t="s">
        <v>7706</v>
      </c>
      <c r="B7743" s="3" t="s">
        <v>7743</v>
      </c>
      <c r="C7743" s="3" t="s">
        <v>7785</v>
      </c>
      <c r="D7743" s="4" t="str">
        <f t="shared" si="634"/>
        <v>12Go Link</v>
      </c>
      <c r="E7743" s="3" t="s">
        <v>3197</v>
      </c>
      <c r="K7743" s="5"/>
    </row>
    <row r="7744">
      <c r="A7744" s="3" t="s">
        <v>7706</v>
      </c>
      <c r="B7744" s="3" t="s">
        <v>7786</v>
      </c>
      <c r="C7744" s="3" t="s">
        <v>7787</v>
      </c>
      <c r="D7744" s="4" t="str">
        <f t="shared" ref="D7744:D7745" si="635">HYPERLINK("https://12go.asia/en/travel/Colombo/Hambantota", "12Go Link")</f>
        <v>12Go Link</v>
      </c>
      <c r="E7744" s="3" t="s">
        <v>3203</v>
      </c>
      <c r="K7744" s="5"/>
    </row>
    <row r="7745">
      <c r="A7745" s="3" t="s">
        <v>7706</v>
      </c>
      <c r="B7745" s="3" t="s">
        <v>7786</v>
      </c>
      <c r="C7745" s="3" t="s">
        <v>7787</v>
      </c>
      <c r="D7745" s="4" t="str">
        <f t="shared" si="635"/>
        <v>12Go Link</v>
      </c>
      <c r="E7745" s="3" t="s">
        <v>3197</v>
      </c>
      <c r="K7745" s="5"/>
    </row>
    <row r="7746">
      <c r="A7746" s="3" t="s">
        <v>7706</v>
      </c>
      <c r="B7746" s="3" t="s">
        <v>7788</v>
      </c>
      <c r="C7746" s="3" t="s">
        <v>7789</v>
      </c>
      <c r="D7746" s="4" t="str">
        <f t="shared" ref="D7746:D7748" si="636">HYPERLINK("https://12go.asia/en/travel/Colombo/Hatton", "12Go Link")</f>
        <v>12Go Link</v>
      </c>
      <c r="E7746" s="3" t="s">
        <v>222</v>
      </c>
      <c r="K7746" s="5"/>
    </row>
    <row r="7747">
      <c r="A7747" s="3" t="s">
        <v>7706</v>
      </c>
      <c r="B7747" s="3" t="s">
        <v>7788</v>
      </c>
      <c r="C7747" s="3" t="s">
        <v>7789</v>
      </c>
      <c r="D7747" s="4" t="str">
        <f t="shared" si="636"/>
        <v>12Go Link</v>
      </c>
      <c r="E7747" s="3" t="s">
        <v>3203</v>
      </c>
      <c r="K7747" s="5"/>
    </row>
    <row r="7748">
      <c r="A7748" s="3" t="s">
        <v>7706</v>
      </c>
      <c r="B7748" s="3" t="s">
        <v>7788</v>
      </c>
      <c r="C7748" s="3" t="s">
        <v>7789</v>
      </c>
      <c r="D7748" s="4" t="str">
        <f t="shared" si="636"/>
        <v>12Go Link</v>
      </c>
      <c r="E7748" s="3" t="s">
        <v>3197</v>
      </c>
      <c r="K7748" s="5"/>
    </row>
    <row r="7749">
      <c r="A7749" s="3" t="s">
        <v>7706</v>
      </c>
      <c r="B7749" s="3" t="s">
        <v>7790</v>
      </c>
      <c r="C7749" s="3" t="s">
        <v>7791</v>
      </c>
      <c r="D7749" s="4" t="str">
        <f t="shared" ref="D7749:D7751" si="637">HYPERLINK("https://12go.asia/en/travel/Colombo/Induruwa", "12Go Link")</f>
        <v>12Go Link</v>
      </c>
      <c r="E7749" s="3" t="s">
        <v>222</v>
      </c>
      <c r="K7749" s="5"/>
    </row>
    <row r="7750">
      <c r="A7750" s="3" t="s">
        <v>7706</v>
      </c>
      <c r="B7750" s="3" t="s">
        <v>7790</v>
      </c>
      <c r="C7750" s="3" t="s">
        <v>7791</v>
      </c>
      <c r="D7750" s="4" t="str">
        <f t="shared" si="637"/>
        <v>12Go Link</v>
      </c>
      <c r="E7750" s="3" t="s">
        <v>3203</v>
      </c>
      <c r="K7750" s="5"/>
    </row>
    <row r="7751">
      <c r="A7751" s="3" t="s">
        <v>7706</v>
      </c>
      <c r="B7751" s="3" t="s">
        <v>7790</v>
      </c>
      <c r="C7751" s="3" t="s">
        <v>7791</v>
      </c>
      <c r="D7751" s="4" t="str">
        <f t="shared" si="637"/>
        <v>12Go Link</v>
      </c>
      <c r="E7751" s="3" t="s">
        <v>3197</v>
      </c>
      <c r="K7751" s="5"/>
    </row>
    <row r="7752">
      <c r="A7752" s="3" t="s">
        <v>7706</v>
      </c>
      <c r="B7752" s="3" t="s">
        <v>7745</v>
      </c>
      <c r="C7752" s="3" t="s">
        <v>7792</v>
      </c>
      <c r="D7752" s="4" t="str">
        <f t="shared" ref="D7752:D7754" si="638">HYPERLINK("https://12go.asia/en/travel/Colombo/Jaffna", "12Go Link")</f>
        <v>12Go Link</v>
      </c>
      <c r="E7752" s="3" t="s">
        <v>222</v>
      </c>
      <c r="K7752" s="5"/>
    </row>
    <row r="7753">
      <c r="A7753" s="3" t="s">
        <v>7706</v>
      </c>
      <c r="B7753" s="3" t="s">
        <v>7745</v>
      </c>
      <c r="C7753" s="3" t="s">
        <v>7792</v>
      </c>
      <c r="D7753" s="4" t="str">
        <f t="shared" si="638"/>
        <v>12Go Link</v>
      </c>
      <c r="E7753" s="3" t="s">
        <v>3203</v>
      </c>
      <c r="K7753" s="5"/>
    </row>
    <row r="7754">
      <c r="A7754" s="3" t="s">
        <v>7706</v>
      </c>
      <c r="B7754" s="3" t="s">
        <v>7745</v>
      </c>
      <c r="C7754" s="3" t="s">
        <v>7792</v>
      </c>
      <c r="D7754" s="4" t="str">
        <f t="shared" si="638"/>
        <v>12Go Link</v>
      </c>
      <c r="E7754" s="3" t="s">
        <v>3197</v>
      </c>
      <c r="K7754" s="5"/>
    </row>
    <row r="7755">
      <c r="A7755" s="3" t="s">
        <v>7706</v>
      </c>
      <c r="B7755" s="3" t="s">
        <v>7793</v>
      </c>
      <c r="C7755" s="3" t="s">
        <v>7794</v>
      </c>
      <c r="D7755" s="4" t="str">
        <f t="shared" ref="D7755:D7757" si="639">HYPERLINK("https://12go.asia/en/travel/Colombo/Kalutara", "12Go Link")</f>
        <v>12Go Link</v>
      </c>
      <c r="E7755" s="3" t="s">
        <v>222</v>
      </c>
      <c r="K7755" s="5"/>
    </row>
    <row r="7756">
      <c r="A7756" s="3" t="s">
        <v>7706</v>
      </c>
      <c r="B7756" s="3" t="s">
        <v>7793</v>
      </c>
      <c r="C7756" s="3" t="s">
        <v>7794</v>
      </c>
      <c r="D7756" s="4" t="str">
        <f t="shared" si="639"/>
        <v>12Go Link</v>
      </c>
      <c r="E7756" s="3" t="s">
        <v>3203</v>
      </c>
      <c r="K7756" s="5"/>
    </row>
    <row r="7757">
      <c r="A7757" s="3" t="s">
        <v>7706</v>
      </c>
      <c r="B7757" s="3" t="s">
        <v>7793</v>
      </c>
      <c r="C7757" s="3" t="s">
        <v>7794</v>
      </c>
      <c r="D7757" s="4" t="str">
        <f t="shared" si="639"/>
        <v>12Go Link</v>
      </c>
      <c r="E7757" s="3" t="s">
        <v>3197</v>
      </c>
      <c r="K7757" s="5"/>
    </row>
    <row r="7758">
      <c r="A7758" s="3" t="s">
        <v>7706</v>
      </c>
      <c r="B7758" s="3" t="s">
        <v>7795</v>
      </c>
      <c r="C7758" s="3" t="s">
        <v>7796</v>
      </c>
      <c r="D7758" s="4" t="str">
        <f t="shared" ref="D7758:D7759" si="640">HYPERLINK("https://12go.asia/en/travel/Colombo/Kataragama", "12Go Link")</f>
        <v>12Go Link</v>
      </c>
      <c r="E7758" s="3" t="s">
        <v>222</v>
      </c>
      <c r="K7758" s="5"/>
    </row>
    <row r="7759">
      <c r="A7759" s="3" t="s">
        <v>7706</v>
      </c>
      <c r="B7759" s="3" t="s">
        <v>7795</v>
      </c>
      <c r="C7759" s="3" t="s">
        <v>7796</v>
      </c>
      <c r="D7759" s="4" t="str">
        <f t="shared" si="640"/>
        <v>12Go Link</v>
      </c>
      <c r="E7759" s="3" t="s">
        <v>3203</v>
      </c>
      <c r="K7759" s="5"/>
    </row>
    <row r="7760">
      <c r="A7760" s="3" t="s">
        <v>7706</v>
      </c>
      <c r="B7760" s="3" t="s">
        <v>7797</v>
      </c>
      <c r="C7760" s="3" t="s">
        <v>7798</v>
      </c>
      <c r="D7760" s="4" t="str">
        <f t="shared" ref="D7760:D7761" si="641">HYPERLINK("https://12go.asia/en/travel/Colombo/Kosgoda", "12Go Link")</f>
        <v>12Go Link</v>
      </c>
      <c r="E7760" s="3" t="s">
        <v>3203</v>
      </c>
      <c r="K7760" s="5"/>
    </row>
    <row r="7761">
      <c r="A7761" s="3" t="s">
        <v>7706</v>
      </c>
      <c r="B7761" s="3" t="s">
        <v>7797</v>
      </c>
      <c r="C7761" s="3" t="s">
        <v>7798</v>
      </c>
      <c r="D7761" s="4" t="str">
        <f t="shared" si="641"/>
        <v>12Go Link</v>
      </c>
      <c r="E7761" s="3" t="s">
        <v>3197</v>
      </c>
      <c r="K7761" s="5"/>
    </row>
    <row r="7762">
      <c r="A7762" s="3" t="s">
        <v>7706</v>
      </c>
      <c r="B7762" s="3" t="s">
        <v>7799</v>
      </c>
      <c r="C7762" s="3" t="s">
        <v>7800</v>
      </c>
      <c r="D7762" s="4" t="str">
        <f t="shared" ref="D7762:D7764" si="642">HYPERLINK("https://12go.asia/en/travel/Colombo/Matara", "12Go Link")</f>
        <v>12Go Link</v>
      </c>
      <c r="E7762" s="3" t="s">
        <v>222</v>
      </c>
      <c r="K7762" s="5"/>
    </row>
    <row r="7763">
      <c r="A7763" s="3" t="s">
        <v>7706</v>
      </c>
      <c r="B7763" s="3" t="s">
        <v>7799</v>
      </c>
      <c r="C7763" s="3" t="s">
        <v>7800</v>
      </c>
      <c r="D7763" s="4" t="str">
        <f t="shared" si="642"/>
        <v>12Go Link</v>
      </c>
      <c r="E7763" s="3" t="s">
        <v>3203</v>
      </c>
      <c r="K7763" s="5"/>
    </row>
    <row r="7764">
      <c r="A7764" s="3" t="s">
        <v>7706</v>
      </c>
      <c r="B7764" s="3" t="s">
        <v>7799</v>
      </c>
      <c r="C7764" s="3" t="s">
        <v>7800</v>
      </c>
      <c r="D7764" s="4" t="str">
        <f t="shared" si="642"/>
        <v>12Go Link</v>
      </c>
      <c r="E7764" s="3" t="s">
        <v>3197</v>
      </c>
      <c r="K7764" s="5"/>
    </row>
    <row r="7765">
      <c r="A7765" s="3" t="s">
        <v>7706</v>
      </c>
      <c r="B7765" s="3" t="s">
        <v>7801</v>
      </c>
      <c r="C7765" s="3" t="s">
        <v>7802</v>
      </c>
      <c r="D7765" s="4" t="str">
        <f t="shared" ref="D7765:D7767" si="643">HYPERLINK("https://12go.asia/en/travel/Colombo/Nanu-Oya-Train-Station", "12Go Link")</f>
        <v>12Go Link</v>
      </c>
      <c r="E7765" s="3" t="s">
        <v>222</v>
      </c>
      <c r="K7765" s="5"/>
    </row>
    <row r="7766">
      <c r="A7766" s="3" t="s">
        <v>7706</v>
      </c>
      <c r="B7766" s="3" t="s">
        <v>7801</v>
      </c>
      <c r="C7766" s="3" t="s">
        <v>7802</v>
      </c>
      <c r="D7766" s="4" t="str">
        <f t="shared" si="643"/>
        <v>12Go Link</v>
      </c>
      <c r="E7766" s="3" t="s">
        <v>3203</v>
      </c>
      <c r="K7766" s="5"/>
    </row>
    <row r="7767">
      <c r="A7767" s="3" t="s">
        <v>7706</v>
      </c>
      <c r="B7767" s="3" t="s">
        <v>7801</v>
      </c>
      <c r="C7767" s="3" t="s">
        <v>7802</v>
      </c>
      <c r="D7767" s="4" t="str">
        <f t="shared" si="643"/>
        <v>12Go Link</v>
      </c>
      <c r="E7767" s="3" t="s">
        <v>3197</v>
      </c>
      <c r="K7767" s="5"/>
    </row>
    <row r="7768">
      <c r="A7768" s="3" t="s">
        <v>7706</v>
      </c>
      <c r="B7768" s="3" t="s">
        <v>7689</v>
      </c>
      <c r="C7768" s="3" t="s">
        <v>7803</v>
      </c>
      <c r="D7768" s="4" t="str">
        <f t="shared" ref="D7768:D7770" si="644">HYPERLINK("https://12go.asia/en/travel/Colombo/Negombo", "12Go Link")</f>
        <v>12Go Link</v>
      </c>
      <c r="E7768" s="3" t="s">
        <v>222</v>
      </c>
      <c r="K7768" s="5"/>
    </row>
    <row r="7769">
      <c r="A7769" s="3" t="s">
        <v>7706</v>
      </c>
      <c r="B7769" s="3" t="s">
        <v>7689</v>
      </c>
      <c r="C7769" s="3" t="s">
        <v>7803</v>
      </c>
      <c r="D7769" s="4" t="str">
        <f t="shared" si="644"/>
        <v>12Go Link</v>
      </c>
      <c r="E7769" s="3" t="s">
        <v>3203</v>
      </c>
      <c r="K7769" s="5"/>
    </row>
    <row r="7770">
      <c r="A7770" s="3" t="s">
        <v>7706</v>
      </c>
      <c r="B7770" s="3" t="s">
        <v>7689</v>
      </c>
      <c r="C7770" s="3" t="s">
        <v>7803</v>
      </c>
      <c r="D7770" s="4" t="str">
        <f t="shared" si="644"/>
        <v>12Go Link</v>
      </c>
      <c r="E7770" s="3" t="s">
        <v>3197</v>
      </c>
      <c r="K7770" s="5"/>
    </row>
    <row r="7771">
      <c r="A7771" s="3" t="s">
        <v>7706</v>
      </c>
      <c r="B7771" s="3" t="s">
        <v>7691</v>
      </c>
      <c r="C7771" s="3" t="s">
        <v>7804</v>
      </c>
      <c r="D7771" s="4" t="str">
        <f t="shared" ref="D7771:D7773" si="645">HYPERLINK("https://12go.asia/en/travel/Colombo/Nuwara-Eliya", "12Go Link")</f>
        <v>12Go Link</v>
      </c>
      <c r="E7771" s="3" t="s">
        <v>222</v>
      </c>
      <c r="K7771" s="5"/>
    </row>
    <row r="7772">
      <c r="A7772" s="3" t="s">
        <v>7706</v>
      </c>
      <c r="B7772" s="3" t="s">
        <v>7691</v>
      </c>
      <c r="C7772" s="3" t="s">
        <v>7804</v>
      </c>
      <c r="D7772" s="4" t="str">
        <f t="shared" si="645"/>
        <v>12Go Link</v>
      </c>
      <c r="E7772" s="3" t="s">
        <v>3203</v>
      </c>
      <c r="K7772" s="5"/>
    </row>
    <row r="7773">
      <c r="A7773" s="3" t="s">
        <v>7706</v>
      </c>
      <c r="B7773" s="3" t="s">
        <v>7691</v>
      </c>
      <c r="C7773" s="3" t="s">
        <v>7804</v>
      </c>
      <c r="D7773" s="4" t="str">
        <f t="shared" si="645"/>
        <v>12Go Link</v>
      </c>
      <c r="E7773" s="3" t="s">
        <v>3197</v>
      </c>
      <c r="K7773" s="5"/>
    </row>
    <row r="7774">
      <c r="A7774" s="3" t="s">
        <v>7706</v>
      </c>
      <c r="B7774" s="3" t="s">
        <v>7805</v>
      </c>
      <c r="C7774" s="3" t="s">
        <v>7806</v>
      </c>
      <c r="D7774" s="4" t="str">
        <f t="shared" ref="D7774:D7775" si="646">HYPERLINK("https://12go.asia/en/travel/Colombo/Tangalle", "12Go Link")</f>
        <v>12Go Link</v>
      </c>
      <c r="E7774" s="3" t="s">
        <v>3203</v>
      </c>
      <c r="K7774" s="5"/>
    </row>
    <row r="7775">
      <c r="A7775" s="3" t="s">
        <v>7706</v>
      </c>
      <c r="B7775" s="3" t="s">
        <v>7805</v>
      </c>
      <c r="C7775" s="3" t="s">
        <v>7806</v>
      </c>
      <c r="D7775" s="4" t="str">
        <f t="shared" si="646"/>
        <v>12Go Link</v>
      </c>
      <c r="E7775" s="3" t="s">
        <v>3197</v>
      </c>
      <c r="K7775" s="5"/>
    </row>
    <row r="7776">
      <c r="A7776" s="3" t="s">
        <v>7706</v>
      </c>
      <c r="B7776" s="3" t="s">
        <v>7695</v>
      </c>
      <c r="C7776" s="3" t="s">
        <v>7807</v>
      </c>
      <c r="D7776" s="4" t="str">
        <f t="shared" ref="D7776:D7777" si="647">HYPERLINK("https://12go.asia/en/travel/Colombo/Tissamaharama", "12Go Link")</f>
        <v>12Go Link</v>
      </c>
      <c r="E7776" s="3" t="s">
        <v>3203</v>
      </c>
      <c r="K7776" s="5"/>
    </row>
    <row r="7777">
      <c r="A7777" s="3" t="s">
        <v>7706</v>
      </c>
      <c r="B7777" s="3" t="s">
        <v>7695</v>
      </c>
      <c r="C7777" s="3" t="s">
        <v>7807</v>
      </c>
      <c r="D7777" s="4" t="str">
        <f t="shared" si="647"/>
        <v>12Go Link</v>
      </c>
      <c r="E7777" s="3" t="s">
        <v>3197</v>
      </c>
      <c r="K7777" s="5"/>
    </row>
    <row r="7778">
      <c r="A7778" s="3" t="s">
        <v>7706</v>
      </c>
      <c r="B7778" s="3" t="s">
        <v>7747</v>
      </c>
      <c r="C7778" s="3" t="s">
        <v>7808</v>
      </c>
      <c r="D7778" s="4" t="str">
        <f t="shared" ref="D7778:D7780" si="648">HYPERLINK("https://12go.asia/en/travel/Colombo/Trincomalee", "12Go Link")</f>
        <v>12Go Link</v>
      </c>
      <c r="E7778" s="3" t="s">
        <v>222</v>
      </c>
      <c r="K7778" s="5"/>
    </row>
    <row r="7779">
      <c r="A7779" s="3" t="s">
        <v>7706</v>
      </c>
      <c r="B7779" s="3" t="s">
        <v>7747</v>
      </c>
      <c r="C7779" s="3" t="s">
        <v>7808</v>
      </c>
      <c r="D7779" s="4" t="str">
        <f t="shared" si="648"/>
        <v>12Go Link</v>
      </c>
      <c r="E7779" s="3" t="s">
        <v>3203</v>
      </c>
      <c r="K7779" s="5"/>
    </row>
    <row r="7780">
      <c r="A7780" s="3" t="s">
        <v>7706</v>
      </c>
      <c r="B7780" s="3" t="s">
        <v>7747</v>
      </c>
      <c r="C7780" s="3" t="s">
        <v>7808</v>
      </c>
      <c r="D7780" s="4" t="str">
        <f t="shared" si="648"/>
        <v>12Go Link</v>
      </c>
      <c r="E7780" s="3" t="s">
        <v>3197</v>
      </c>
      <c r="K7780" s="5"/>
    </row>
    <row r="7781">
      <c r="A7781" s="3" t="s">
        <v>7706</v>
      </c>
      <c r="B7781" s="3" t="s">
        <v>7809</v>
      </c>
      <c r="C7781" s="3" t="s">
        <v>7810</v>
      </c>
      <c r="D7781" s="4" t="str">
        <f t="shared" ref="D7781:D7783" si="649">HYPERLINK("https://12go.asia/en/travel/Colombo/Udawalawa", "12Go Link")</f>
        <v>12Go Link</v>
      </c>
      <c r="E7781" s="3" t="s">
        <v>222</v>
      </c>
      <c r="K7781" s="5"/>
    </row>
    <row r="7782">
      <c r="A7782" s="3" t="s">
        <v>7706</v>
      </c>
      <c r="B7782" s="3" t="s">
        <v>7809</v>
      </c>
      <c r="C7782" s="3" t="s">
        <v>7810</v>
      </c>
      <c r="D7782" s="4" t="str">
        <f t="shared" si="649"/>
        <v>12Go Link</v>
      </c>
      <c r="E7782" s="3" t="s">
        <v>3203</v>
      </c>
      <c r="K7782" s="5"/>
    </row>
    <row r="7783">
      <c r="A7783" s="3" t="s">
        <v>7706</v>
      </c>
      <c r="B7783" s="3" t="s">
        <v>7809</v>
      </c>
      <c r="C7783" s="3" t="s">
        <v>7810</v>
      </c>
      <c r="D7783" s="4" t="str">
        <f t="shared" si="649"/>
        <v>12Go Link</v>
      </c>
      <c r="E7783" s="3" t="s">
        <v>3197</v>
      </c>
      <c r="K7783" s="5"/>
    </row>
    <row r="7784">
      <c r="A7784" s="3" t="s">
        <v>7706</v>
      </c>
      <c r="B7784" s="3" t="s">
        <v>7811</v>
      </c>
      <c r="C7784" s="3" t="s">
        <v>7812</v>
      </c>
      <c r="D7784" s="4" t="str">
        <f t="shared" ref="D7784:D7785" si="650">HYPERLINK("https://12go.asia/en/travel/Colombo/Unawatuna", "12Go Link")</f>
        <v>12Go Link</v>
      </c>
      <c r="E7784" s="3" t="s">
        <v>3203</v>
      </c>
      <c r="K7784" s="5"/>
    </row>
    <row r="7785">
      <c r="A7785" s="3" t="s">
        <v>7706</v>
      </c>
      <c r="B7785" s="3" t="s">
        <v>7811</v>
      </c>
      <c r="C7785" s="3" t="s">
        <v>7812</v>
      </c>
      <c r="D7785" s="4" t="str">
        <f t="shared" si="650"/>
        <v>12Go Link</v>
      </c>
      <c r="E7785" s="3" t="s">
        <v>3197</v>
      </c>
      <c r="K7785" s="5"/>
    </row>
    <row r="7786">
      <c r="A7786" s="3" t="s">
        <v>7706</v>
      </c>
      <c r="B7786" s="3" t="s">
        <v>7813</v>
      </c>
      <c r="C7786" s="3" t="s">
        <v>7814</v>
      </c>
      <c r="D7786" s="4" t="str">
        <f t="shared" ref="D7786:D7787" si="651">HYPERLINK("https://12go.asia/en/travel/Colombo/Waskaduwa", "12Go Link")</f>
        <v>12Go Link</v>
      </c>
      <c r="E7786" s="3" t="s">
        <v>3203</v>
      </c>
      <c r="K7786" s="5"/>
    </row>
    <row r="7787">
      <c r="A7787" s="3" t="s">
        <v>7706</v>
      </c>
      <c r="B7787" s="3" t="s">
        <v>7813</v>
      </c>
      <c r="C7787" s="3" t="s">
        <v>7814</v>
      </c>
      <c r="D7787" s="4" t="str">
        <f t="shared" si="651"/>
        <v>12Go Link</v>
      </c>
      <c r="E7787" s="3" t="s">
        <v>3197</v>
      </c>
      <c r="K7787" s="5"/>
    </row>
    <row r="7788">
      <c r="A7788" s="3" t="s">
        <v>7708</v>
      </c>
      <c r="B7788" s="3" t="s">
        <v>7815</v>
      </c>
      <c r="C7788" s="3" t="s">
        <v>7816</v>
      </c>
      <c r="D7788" s="4" t="str">
        <f t="shared" ref="D7788:D7789" si="652">HYPERLINK("https://12go.asia/en/travel/Bandaranaike-Airport/Avissawella", "12Go Link")</f>
        <v>12Go Link</v>
      </c>
      <c r="E7788" s="3" t="s">
        <v>3203</v>
      </c>
      <c r="K7788" s="5"/>
    </row>
    <row r="7789">
      <c r="A7789" s="3" t="s">
        <v>7708</v>
      </c>
      <c r="B7789" s="3" t="s">
        <v>7815</v>
      </c>
      <c r="C7789" s="3" t="s">
        <v>7816</v>
      </c>
      <c r="D7789" s="4" t="str">
        <f t="shared" si="652"/>
        <v>12Go Link</v>
      </c>
      <c r="E7789" s="3" t="s">
        <v>3197</v>
      </c>
      <c r="K7789" s="5"/>
    </row>
    <row r="7790">
      <c r="A7790" s="3" t="s">
        <v>7708</v>
      </c>
      <c r="B7790" s="3" t="s">
        <v>7767</v>
      </c>
      <c r="C7790" s="3" t="s">
        <v>7817</v>
      </c>
      <c r="D7790" s="4" t="str">
        <f t="shared" ref="D7790:D7792" si="653">HYPERLINK("https://12go.asia/en/travel/Bandaranaike-Airport/Bundala", "12Go Link")</f>
        <v>12Go Link</v>
      </c>
      <c r="E7790" s="3" t="s">
        <v>222</v>
      </c>
      <c r="K7790" s="5"/>
    </row>
    <row r="7791">
      <c r="A7791" s="3" t="s">
        <v>7708</v>
      </c>
      <c r="B7791" s="3" t="s">
        <v>7767</v>
      </c>
      <c r="C7791" s="3" t="s">
        <v>7817</v>
      </c>
      <c r="D7791" s="4" t="str">
        <f t="shared" si="653"/>
        <v>12Go Link</v>
      </c>
      <c r="E7791" s="3" t="s">
        <v>3203</v>
      </c>
      <c r="K7791" s="5"/>
    </row>
    <row r="7792">
      <c r="A7792" s="3" t="s">
        <v>7708</v>
      </c>
      <c r="B7792" s="3" t="s">
        <v>7767</v>
      </c>
      <c r="C7792" s="3" t="s">
        <v>7817</v>
      </c>
      <c r="D7792" s="4" t="str">
        <f t="shared" si="653"/>
        <v>12Go Link</v>
      </c>
      <c r="E7792" s="3" t="s">
        <v>3197</v>
      </c>
      <c r="K7792" s="5"/>
    </row>
    <row r="7793">
      <c r="A7793" s="3" t="s">
        <v>7708</v>
      </c>
      <c r="B7793" s="3" t="s">
        <v>7706</v>
      </c>
      <c r="C7793" s="3" t="s">
        <v>7818</v>
      </c>
      <c r="D7793" s="4" t="str">
        <f t="shared" ref="D7793:D7795" si="654">HYPERLINK("https://12go.asia/en/travel/Bandaranaike-Airport/Fort-Railway-Station", "12Go Link")</f>
        <v>12Go Link</v>
      </c>
      <c r="E7793" s="3" t="s">
        <v>222</v>
      </c>
      <c r="K7793" s="5"/>
    </row>
    <row r="7794">
      <c r="A7794" s="3" t="s">
        <v>7708</v>
      </c>
      <c r="B7794" s="3" t="s">
        <v>7706</v>
      </c>
      <c r="C7794" s="3" t="s">
        <v>7818</v>
      </c>
      <c r="D7794" s="4" t="str">
        <f t="shared" si="654"/>
        <v>12Go Link</v>
      </c>
      <c r="E7794" s="3" t="s">
        <v>3203</v>
      </c>
      <c r="K7794" s="5"/>
    </row>
    <row r="7795">
      <c r="A7795" s="3" t="s">
        <v>7708</v>
      </c>
      <c r="B7795" s="3" t="s">
        <v>7706</v>
      </c>
      <c r="C7795" s="3" t="s">
        <v>7818</v>
      </c>
      <c r="D7795" s="4" t="str">
        <f t="shared" si="654"/>
        <v>12Go Link</v>
      </c>
      <c r="E7795" s="3" t="s">
        <v>3197</v>
      </c>
      <c r="K7795" s="5"/>
    </row>
    <row r="7796">
      <c r="A7796" s="3" t="s">
        <v>7708</v>
      </c>
      <c r="B7796" s="3" t="s">
        <v>7780</v>
      </c>
      <c r="C7796" s="3" t="s">
        <v>7819</v>
      </c>
      <c r="D7796" s="4" t="str">
        <f t="shared" ref="D7796:D7798" si="655">HYPERLINK("https://12go.asia/en/travel/Bandaranaike-Airport/Dikwella", "12Go Link")</f>
        <v>12Go Link</v>
      </c>
      <c r="E7796" s="3" t="s">
        <v>222</v>
      </c>
      <c r="K7796" s="5"/>
    </row>
    <row r="7797">
      <c r="A7797" s="3" t="s">
        <v>7708</v>
      </c>
      <c r="B7797" s="3" t="s">
        <v>7780</v>
      </c>
      <c r="C7797" s="3" t="s">
        <v>7819</v>
      </c>
      <c r="D7797" s="4" t="str">
        <f t="shared" si="655"/>
        <v>12Go Link</v>
      </c>
      <c r="E7797" s="3" t="s">
        <v>3203</v>
      </c>
      <c r="K7797" s="5"/>
    </row>
    <row r="7798">
      <c r="A7798" s="3" t="s">
        <v>7708</v>
      </c>
      <c r="B7798" s="3" t="s">
        <v>7780</v>
      </c>
      <c r="C7798" s="3" t="s">
        <v>7819</v>
      </c>
      <c r="D7798" s="4" t="str">
        <f t="shared" si="655"/>
        <v>12Go Link</v>
      </c>
      <c r="E7798" s="3" t="s">
        <v>3197</v>
      </c>
      <c r="K7798" s="5"/>
    </row>
    <row r="7799">
      <c r="A7799" s="3" t="s">
        <v>7708</v>
      </c>
      <c r="B7799" s="3" t="s">
        <v>7790</v>
      </c>
      <c r="C7799" s="3" t="s">
        <v>7820</v>
      </c>
      <c r="D7799" s="4" t="str">
        <f t="shared" ref="D7799:D7801" si="656">HYPERLINK("https://12go.asia/en/travel/Bandaranaike-Airport/Induruwa", "12Go Link")</f>
        <v>12Go Link</v>
      </c>
      <c r="E7799" s="3" t="s">
        <v>222</v>
      </c>
      <c r="K7799" s="5"/>
    </row>
    <row r="7800">
      <c r="A7800" s="3" t="s">
        <v>7708</v>
      </c>
      <c r="B7800" s="3" t="s">
        <v>7790</v>
      </c>
      <c r="C7800" s="3" t="s">
        <v>7820</v>
      </c>
      <c r="D7800" s="4" t="str">
        <f t="shared" si="656"/>
        <v>12Go Link</v>
      </c>
      <c r="E7800" s="3" t="s">
        <v>3203</v>
      </c>
      <c r="K7800" s="5"/>
    </row>
    <row r="7801">
      <c r="A7801" s="3" t="s">
        <v>7708</v>
      </c>
      <c r="B7801" s="3" t="s">
        <v>7790</v>
      </c>
      <c r="C7801" s="3" t="s">
        <v>7820</v>
      </c>
      <c r="D7801" s="4" t="str">
        <f t="shared" si="656"/>
        <v>12Go Link</v>
      </c>
      <c r="E7801" s="3" t="s">
        <v>3197</v>
      </c>
      <c r="K7801" s="5"/>
    </row>
    <row r="7802">
      <c r="A7802" s="3" t="s">
        <v>7708</v>
      </c>
      <c r="B7802" s="3" t="s">
        <v>7795</v>
      </c>
      <c r="C7802" s="3" t="s">
        <v>7821</v>
      </c>
      <c r="D7802" s="4" t="str">
        <f t="shared" ref="D7802:D7804" si="657">HYPERLINK("https://12go.asia/en/travel/Bandaranaike-Airport/Kataragama", "12Go Link")</f>
        <v>12Go Link</v>
      </c>
      <c r="E7802" s="3" t="s">
        <v>222</v>
      </c>
      <c r="K7802" s="5"/>
    </row>
    <row r="7803">
      <c r="A7803" s="3" t="s">
        <v>7708</v>
      </c>
      <c r="B7803" s="3" t="s">
        <v>7795</v>
      </c>
      <c r="C7803" s="3" t="s">
        <v>7821</v>
      </c>
      <c r="D7803" s="4" t="str">
        <f t="shared" si="657"/>
        <v>12Go Link</v>
      </c>
      <c r="E7803" s="3" t="s">
        <v>3203</v>
      </c>
      <c r="K7803" s="5"/>
    </row>
    <row r="7804">
      <c r="A7804" s="3" t="s">
        <v>7708</v>
      </c>
      <c r="B7804" s="3" t="s">
        <v>7795</v>
      </c>
      <c r="C7804" s="3" t="s">
        <v>7821</v>
      </c>
      <c r="D7804" s="4" t="str">
        <f t="shared" si="657"/>
        <v>12Go Link</v>
      </c>
      <c r="E7804" s="3" t="s">
        <v>3197</v>
      </c>
      <c r="K7804" s="5"/>
    </row>
    <row r="7805">
      <c r="A7805" s="3" t="s">
        <v>7708</v>
      </c>
      <c r="B7805" s="3" t="s">
        <v>7689</v>
      </c>
      <c r="C7805" s="3" t="s">
        <v>7822</v>
      </c>
      <c r="D7805" s="4" t="str">
        <f t="shared" ref="D7805:D7806" si="658">HYPERLINK("https://12go.asia/en/travel/Bandaranaike-Airport/Waikkal", "12Go Link")</f>
        <v>12Go Link</v>
      </c>
      <c r="E7805" s="3" t="s">
        <v>222</v>
      </c>
      <c r="K7805" s="5"/>
    </row>
    <row r="7806">
      <c r="A7806" s="3" t="s">
        <v>7708</v>
      </c>
      <c r="B7806" s="3" t="s">
        <v>7689</v>
      </c>
      <c r="C7806" s="3" t="s">
        <v>7822</v>
      </c>
      <c r="D7806" s="4" t="str">
        <f t="shared" si="658"/>
        <v>12Go Link</v>
      </c>
      <c r="E7806" s="3" t="s">
        <v>3203</v>
      </c>
      <c r="K7806" s="5"/>
    </row>
    <row r="7807">
      <c r="A7807" s="3" t="s">
        <v>7708</v>
      </c>
      <c r="B7807" s="3" t="s">
        <v>7823</v>
      </c>
      <c r="C7807" s="3" t="s">
        <v>7824</v>
      </c>
      <c r="D7807" s="4" t="str">
        <f t="shared" ref="D7807:D7808" si="659">HYPERLINK("https://12go.asia/en/travel/Bandaranaike-Airport/Pasyala", "12Go Link")</f>
        <v>12Go Link</v>
      </c>
      <c r="E7807" s="3" t="s">
        <v>222</v>
      </c>
      <c r="K7807" s="5"/>
    </row>
    <row r="7808">
      <c r="A7808" s="3" t="s">
        <v>7708</v>
      </c>
      <c r="B7808" s="3" t="s">
        <v>7823</v>
      </c>
      <c r="C7808" s="3" t="s">
        <v>7824</v>
      </c>
      <c r="D7808" s="4" t="str">
        <f t="shared" si="659"/>
        <v>12Go Link</v>
      </c>
      <c r="E7808" s="3" t="s">
        <v>3203</v>
      </c>
      <c r="K7808" s="5"/>
    </row>
    <row r="7809">
      <c r="A7809" s="3" t="s">
        <v>7708</v>
      </c>
      <c r="B7809" s="3" t="s">
        <v>7825</v>
      </c>
      <c r="C7809" s="3" t="s">
        <v>7826</v>
      </c>
      <c r="D7809" s="4" t="str">
        <f t="shared" ref="D7809:D7810" si="660">HYPERLINK("https://12go.asia/en/travel/Bandaranaike-Airport/Marawila", "12Go Link")</f>
        <v>12Go Link</v>
      </c>
      <c r="E7809" s="3" t="s">
        <v>3203</v>
      </c>
      <c r="K7809" s="5"/>
    </row>
    <row r="7810">
      <c r="A7810" s="3" t="s">
        <v>7708</v>
      </c>
      <c r="B7810" s="3" t="s">
        <v>7825</v>
      </c>
      <c r="C7810" s="3" t="s">
        <v>7826</v>
      </c>
      <c r="D7810" s="4" t="str">
        <f t="shared" si="660"/>
        <v>12Go Link</v>
      </c>
      <c r="E7810" s="3" t="s">
        <v>3197</v>
      </c>
      <c r="K7810" s="5"/>
    </row>
    <row r="7811">
      <c r="A7811" s="3" t="s">
        <v>7708</v>
      </c>
      <c r="B7811" s="3" t="s">
        <v>7809</v>
      </c>
      <c r="C7811" s="3" t="s">
        <v>7827</v>
      </c>
      <c r="D7811" s="4" t="str">
        <f t="shared" ref="D7811:D7813" si="661">HYPERLINK("https://12go.asia/en/travel/Bandaranaike-Airport/Udawalawa", "12Go Link")</f>
        <v>12Go Link</v>
      </c>
      <c r="E7811" s="3" t="s">
        <v>222</v>
      </c>
      <c r="K7811" s="5"/>
    </row>
    <row r="7812">
      <c r="A7812" s="3" t="s">
        <v>7708</v>
      </c>
      <c r="B7812" s="3" t="s">
        <v>7809</v>
      </c>
      <c r="C7812" s="3" t="s">
        <v>7827</v>
      </c>
      <c r="D7812" s="4" t="str">
        <f t="shared" si="661"/>
        <v>12Go Link</v>
      </c>
      <c r="E7812" s="3" t="s">
        <v>3203</v>
      </c>
      <c r="K7812" s="5"/>
    </row>
    <row r="7813">
      <c r="A7813" s="3" t="s">
        <v>7708</v>
      </c>
      <c r="B7813" s="3" t="s">
        <v>7809</v>
      </c>
      <c r="C7813" s="3" t="s">
        <v>7827</v>
      </c>
      <c r="D7813" s="4" t="str">
        <f t="shared" si="661"/>
        <v>12Go Link</v>
      </c>
      <c r="E7813" s="3" t="s">
        <v>3197</v>
      </c>
      <c r="K7813" s="5"/>
    </row>
    <row r="7814">
      <c r="A7814" s="3" t="s">
        <v>7683</v>
      </c>
      <c r="B7814" s="3" t="s">
        <v>7705</v>
      </c>
      <c r="C7814" s="3" t="s">
        <v>7828</v>
      </c>
      <c r="D7814" s="4" t="str">
        <f t="shared" ref="D7814:D7815" si="662">HYPERLINK("https://12go.asia/en/travel/Dambulla/Aluthgama", "12Go Link")</f>
        <v>12Go Link</v>
      </c>
      <c r="E7814" s="3" t="s">
        <v>3203</v>
      </c>
      <c r="K7814" s="5"/>
    </row>
    <row r="7815">
      <c r="A7815" s="3" t="s">
        <v>7683</v>
      </c>
      <c r="B7815" s="3" t="s">
        <v>7705</v>
      </c>
      <c r="C7815" s="3" t="s">
        <v>7828</v>
      </c>
      <c r="D7815" s="4" t="str">
        <f t="shared" si="662"/>
        <v>12Go Link</v>
      </c>
      <c r="E7815" s="3" t="s">
        <v>3197</v>
      </c>
      <c r="K7815" s="5"/>
    </row>
    <row r="7816">
      <c r="A7816" s="3" t="s">
        <v>7683</v>
      </c>
      <c r="B7816" s="3" t="s">
        <v>7695</v>
      </c>
      <c r="C7816" s="3" t="s">
        <v>7829</v>
      </c>
      <c r="D7816" s="4" t="str">
        <f t="shared" ref="D7816:D7817" si="663">HYPERLINK("https://12go.asia/en/travel/Dambulla/Yala-Park", "12Go Link")</f>
        <v>12Go Link</v>
      </c>
      <c r="E7816" s="3" t="s">
        <v>3203</v>
      </c>
      <c r="K7816" s="5"/>
    </row>
    <row r="7817">
      <c r="A7817" s="3" t="s">
        <v>7683</v>
      </c>
      <c r="B7817" s="3" t="s">
        <v>7695</v>
      </c>
      <c r="C7817" s="3" t="s">
        <v>7829</v>
      </c>
      <c r="D7817" s="4" t="str">
        <f t="shared" si="663"/>
        <v>12Go Link</v>
      </c>
      <c r="E7817" s="3" t="s">
        <v>3197</v>
      </c>
      <c r="K7817" s="5"/>
    </row>
    <row r="7818">
      <c r="A7818" s="3" t="s">
        <v>7780</v>
      </c>
      <c r="B7818" s="3" t="s">
        <v>7685</v>
      </c>
      <c r="C7818" s="3" t="s">
        <v>7830</v>
      </c>
      <c r="D7818" s="4" t="str">
        <f t="shared" ref="D7818:D7820" si="664">HYPERLINK("https://12go.asia/en/travel/Dikwella/Ella", "12Go Link")</f>
        <v>12Go Link</v>
      </c>
      <c r="E7818" s="3" t="s">
        <v>222</v>
      </c>
      <c r="K7818" s="5"/>
    </row>
    <row r="7819">
      <c r="A7819" s="3" t="s">
        <v>7780</v>
      </c>
      <c r="B7819" s="3" t="s">
        <v>7685</v>
      </c>
      <c r="C7819" s="3" t="s">
        <v>7830</v>
      </c>
      <c r="D7819" s="4" t="str">
        <f t="shared" si="664"/>
        <v>12Go Link</v>
      </c>
      <c r="E7819" s="3" t="s">
        <v>3203</v>
      </c>
      <c r="K7819" s="5"/>
    </row>
    <row r="7820">
      <c r="A7820" s="3" t="s">
        <v>7780</v>
      </c>
      <c r="B7820" s="3" t="s">
        <v>7685</v>
      </c>
      <c r="C7820" s="3" t="s">
        <v>7830</v>
      </c>
      <c r="D7820" s="4" t="str">
        <f t="shared" si="664"/>
        <v>12Go Link</v>
      </c>
      <c r="E7820" s="3" t="s">
        <v>3197</v>
      </c>
      <c r="K7820" s="5"/>
    </row>
    <row r="7821">
      <c r="A7821" s="3" t="s">
        <v>7780</v>
      </c>
      <c r="B7821" s="3" t="s">
        <v>7689</v>
      </c>
      <c r="C7821" s="3" t="s">
        <v>7831</v>
      </c>
      <c r="D7821" s="4" t="str">
        <f t="shared" ref="D7821:D7823" si="665">HYPERLINK("https://12go.asia/en/travel/Dikwella/Negombo", "12Go Link")</f>
        <v>12Go Link</v>
      </c>
      <c r="E7821" s="3" t="s">
        <v>222</v>
      </c>
      <c r="K7821" s="5"/>
    </row>
    <row r="7822">
      <c r="A7822" s="3" t="s">
        <v>7780</v>
      </c>
      <c r="B7822" s="3" t="s">
        <v>7689</v>
      </c>
      <c r="C7822" s="3" t="s">
        <v>7831</v>
      </c>
      <c r="D7822" s="4" t="str">
        <f t="shared" si="665"/>
        <v>12Go Link</v>
      </c>
      <c r="E7822" s="3" t="s">
        <v>3203</v>
      </c>
      <c r="K7822" s="5"/>
    </row>
    <row r="7823">
      <c r="A7823" s="3" t="s">
        <v>7780</v>
      </c>
      <c r="B7823" s="3" t="s">
        <v>7689</v>
      </c>
      <c r="C7823" s="3" t="s">
        <v>7831</v>
      </c>
      <c r="D7823" s="4" t="str">
        <f t="shared" si="665"/>
        <v>12Go Link</v>
      </c>
      <c r="E7823" s="3" t="s">
        <v>3197</v>
      </c>
      <c r="K7823" s="5"/>
    </row>
    <row r="7824">
      <c r="A7824" s="3" t="s">
        <v>7685</v>
      </c>
      <c r="B7824" s="3" t="s">
        <v>7682</v>
      </c>
      <c r="C7824" s="3" t="s">
        <v>7832</v>
      </c>
      <c r="D7824" s="4" t="str">
        <f t="shared" ref="D7824:D7826" si="666">HYPERLINK("https://12go.asia/en/travel/Ella/Ahangama", "12Go Link")</f>
        <v>12Go Link</v>
      </c>
      <c r="E7824" s="3" t="s">
        <v>222</v>
      </c>
      <c r="K7824" s="5"/>
    </row>
    <row r="7825">
      <c r="A7825" s="3" t="s">
        <v>7685</v>
      </c>
      <c r="B7825" s="3" t="s">
        <v>7682</v>
      </c>
      <c r="C7825" s="3" t="s">
        <v>7832</v>
      </c>
      <c r="D7825" s="4" t="str">
        <f t="shared" si="666"/>
        <v>12Go Link</v>
      </c>
      <c r="E7825" s="3" t="s">
        <v>3203</v>
      </c>
      <c r="K7825" s="5"/>
    </row>
    <row r="7826">
      <c r="A7826" s="3" t="s">
        <v>7685</v>
      </c>
      <c r="B7826" s="3" t="s">
        <v>7682</v>
      </c>
      <c r="C7826" s="3" t="s">
        <v>7832</v>
      </c>
      <c r="D7826" s="4" t="str">
        <f t="shared" si="666"/>
        <v>12Go Link</v>
      </c>
      <c r="E7826" s="3" t="s">
        <v>3197</v>
      </c>
      <c r="K7826" s="5"/>
    </row>
    <row r="7827">
      <c r="A7827" s="3" t="s">
        <v>7685</v>
      </c>
      <c r="B7827" s="3" t="s">
        <v>7697</v>
      </c>
      <c r="C7827" s="3" t="s">
        <v>7833</v>
      </c>
      <c r="D7827" s="4" t="str">
        <f t="shared" ref="D7827:D7828" si="667">HYPERLINK("https://12go.asia/en/travel/Ella/Ahungalla", "12Go Link")</f>
        <v>12Go Link</v>
      </c>
      <c r="E7827" s="3" t="s">
        <v>222</v>
      </c>
      <c r="K7827" s="5"/>
    </row>
    <row r="7828">
      <c r="A7828" s="3" t="s">
        <v>7685</v>
      </c>
      <c r="B7828" s="3" t="s">
        <v>7697</v>
      </c>
      <c r="C7828" s="3" t="s">
        <v>7833</v>
      </c>
      <c r="D7828" s="4" t="str">
        <f t="shared" si="667"/>
        <v>12Go Link</v>
      </c>
      <c r="E7828" s="3" t="s">
        <v>3197</v>
      </c>
      <c r="K7828" s="5"/>
    </row>
    <row r="7829">
      <c r="A7829" s="3" t="s">
        <v>7685</v>
      </c>
      <c r="B7829" s="3" t="s">
        <v>7718</v>
      </c>
      <c r="C7829" s="3" t="s">
        <v>7834</v>
      </c>
      <c r="D7829" s="4" t="str">
        <f t="shared" ref="D7829:D7830" si="668">HYPERLINK("https://12go.asia/en/travel/Ella/Ambalangoda", "12Go Link")</f>
        <v>12Go Link</v>
      </c>
      <c r="E7829" s="3" t="s">
        <v>3203</v>
      </c>
      <c r="K7829" s="5"/>
    </row>
    <row r="7830">
      <c r="A7830" s="3" t="s">
        <v>7685</v>
      </c>
      <c r="B7830" s="3" t="s">
        <v>7718</v>
      </c>
      <c r="C7830" s="3" t="s">
        <v>7834</v>
      </c>
      <c r="D7830" s="4" t="str">
        <f t="shared" si="668"/>
        <v>12Go Link</v>
      </c>
      <c r="E7830" s="3" t="s">
        <v>3197</v>
      </c>
      <c r="K7830" s="5"/>
    </row>
    <row r="7831">
      <c r="A7831" s="3" t="s">
        <v>7685</v>
      </c>
      <c r="B7831" s="3" t="s">
        <v>7728</v>
      </c>
      <c r="C7831" s="3" t="s">
        <v>7835</v>
      </c>
      <c r="D7831" s="4" t="str">
        <f t="shared" ref="D7831:D7832" si="669">HYPERLINK("https://12go.asia/en/travel/Ella/Ambalantota", "12Go Link")</f>
        <v>12Go Link</v>
      </c>
      <c r="E7831" s="3" t="s">
        <v>3203</v>
      </c>
      <c r="K7831" s="5"/>
    </row>
    <row r="7832">
      <c r="A7832" s="3" t="s">
        <v>7685</v>
      </c>
      <c r="B7832" s="3" t="s">
        <v>7728</v>
      </c>
      <c r="C7832" s="3" t="s">
        <v>7835</v>
      </c>
      <c r="D7832" s="4" t="str">
        <f t="shared" si="669"/>
        <v>12Go Link</v>
      </c>
      <c r="E7832" s="3" t="s">
        <v>3197</v>
      </c>
      <c r="K7832" s="5"/>
    </row>
    <row r="7833">
      <c r="A7833" s="3" t="s">
        <v>7685</v>
      </c>
      <c r="B7833" s="3" t="s">
        <v>7836</v>
      </c>
      <c r="C7833" s="3" t="s">
        <v>7837</v>
      </c>
      <c r="D7833" s="4" t="str">
        <f t="shared" ref="D7833:D7835" si="670">HYPERLINK("https://12go.asia/en/travel/Ella/Badulla", "12Go Link")</f>
        <v>12Go Link</v>
      </c>
      <c r="E7833" s="3" t="s">
        <v>222</v>
      </c>
      <c r="K7833" s="5"/>
    </row>
    <row r="7834">
      <c r="A7834" s="3" t="s">
        <v>7685</v>
      </c>
      <c r="B7834" s="3" t="s">
        <v>7836</v>
      </c>
      <c r="C7834" s="3" t="s">
        <v>7837</v>
      </c>
      <c r="D7834" s="4" t="str">
        <f t="shared" si="670"/>
        <v>12Go Link</v>
      </c>
      <c r="E7834" s="3" t="s">
        <v>3203</v>
      </c>
      <c r="K7834" s="5"/>
    </row>
    <row r="7835">
      <c r="A7835" s="3" t="s">
        <v>7685</v>
      </c>
      <c r="B7835" s="3" t="s">
        <v>7836</v>
      </c>
      <c r="C7835" s="3" t="s">
        <v>7837</v>
      </c>
      <c r="D7835" s="4" t="str">
        <f t="shared" si="670"/>
        <v>12Go Link</v>
      </c>
      <c r="E7835" s="3" t="s">
        <v>3197</v>
      </c>
      <c r="K7835" s="5"/>
    </row>
    <row r="7836">
      <c r="A7836" s="3" t="s">
        <v>7685</v>
      </c>
      <c r="B7836" s="3" t="s">
        <v>7749</v>
      </c>
      <c r="C7836" s="3" t="s">
        <v>7838</v>
      </c>
      <c r="D7836" s="4" t="str">
        <f t="shared" ref="D7836:D7837" si="671">HYPERLINK("https://12go.asia/en/travel/Ella/Balapitiya", "12Go Link")</f>
        <v>12Go Link</v>
      </c>
      <c r="E7836" s="3" t="s">
        <v>3203</v>
      </c>
      <c r="K7836" s="5"/>
    </row>
    <row r="7837">
      <c r="A7837" s="3" t="s">
        <v>7685</v>
      </c>
      <c r="B7837" s="3" t="s">
        <v>7749</v>
      </c>
      <c r="C7837" s="3" t="s">
        <v>7838</v>
      </c>
      <c r="D7837" s="4" t="str">
        <f t="shared" si="671"/>
        <v>12Go Link</v>
      </c>
      <c r="E7837" s="3" t="s">
        <v>3197</v>
      </c>
      <c r="K7837" s="5"/>
    </row>
    <row r="7838">
      <c r="A7838" s="3" t="s">
        <v>7685</v>
      </c>
      <c r="B7838" s="3" t="s">
        <v>7708</v>
      </c>
      <c r="C7838" s="3" t="s">
        <v>7839</v>
      </c>
      <c r="D7838" s="4" t="str">
        <f t="shared" ref="D7838:D7840" si="672">HYPERLINK("https://12go.asia/en/travel/Ella/Bandaranaike-Airport", "12Go Link")</f>
        <v>12Go Link</v>
      </c>
      <c r="E7838" s="3" t="s">
        <v>222</v>
      </c>
      <c r="K7838" s="5"/>
    </row>
    <row r="7839">
      <c r="A7839" s="3" t="s">
        <v>7685</v>
      </c>
      <c r="B7839" s="3" t="s">
        <v>7708</v>
      </c>
      <c r="C7839" s="3" t="s">
        <v>7839</v>
      </c>
      <c r="D7839" s="4" t="str">
        <f t="shared" si="672"/>
        <v>12Go Link</v>
      </c>
      <c r="E7839" s="3" t="s">
        <v>3203</v>
      </c>
      <c r="K7839" s="5"/>
    </row>
    <row r="7840">
      <c r="A7840" s="3" t="s">
        <v>7685</v>
      </c>
      <c r="B7840" s="3" t="s">
        <v>7708</v>
      </c>
      <c r="C7840" s="3" t="s">
        <v>7839</v>
      </c>
      <c r="D7840" s="4" t="str">
        <f t="shared" si="672"/>
        <v>12Go Link</v>
      </c>
      <c r="E7840" s="3" t="s">
        <v>3197</v>
      </c>
      <c r="K7840" s="5"/>
    </row>
    <row r="7841">
      <c r="A7841" s="3" t="s">
        <v>7685</v>
      </c>
      <c r="B7841" s="3" t="s">
        <v>7783</v>
      </c>
      <c r="C7841" s="3" t="s">
        <v>7840</v>
      </c>
      <c r="D7841" s="4" t="str">
        <f t="shared" ref="D7841:D7842" si="673">HYPERLINK("https://12go.asia/en/travel/Ella/Koggala", "12Go Link")</f>
        <v>12Go Link</v>
      </c>
      <c r="E7841" s="3" t="s">
        <v>3203</v>
      </c>
      <c r="K7841" s="5"/>
    </row>
    <row r="7842">
      <c r="A7842" s="3" t="s">
        <v>7685</v>
      </c>
      <c r="B7842" s="3" t="s">
        <v>7783</v>
      </c>
      <c r="C7842" s="3" t="s">
        <v>7840</v>
      </c>
      <c r="D7842" s="4" t="str">
        <f t="shared" si="673"/>
        <v>12Go Link</v>
      </c>
      <c r="E7842" s="3" t="s">
        <v>3197</v>
      </c>
      <c r="K7842" s="5"/>
    </row>
    <row r="7843">
      <c r="A7843" s="3" t="s">
        <v>7685</v>
      </c>
      <c r="B7843" s="3" t="s">
        <v>7783</v>
      </c>
      <c r="C7843" s="3" t="s">
        <v>7841</v>
      </c>
      <c r="D7843" s="4" t="str">
        <f t="shared" ref="D7843:D7844" si="674">HYPERLINK("https://12go.asia/en/travel/Ella/Talpe", "12Go Link")</f>
        <v>12Go Link</v>
      </c>
      <c r="E7843" s="3" t="s">
        <v>3203</v>
      </c>
      <c r="K7843" s="5"/>
    </row>
    <row r="7844">
      <c r="A7844" s="3" t="s">
        <v>7685</v>
      </c>
      <c r="B7844" s="3" t="s">
        <v>7783</v>
      </c>
      <c r="C7844" s="3" t="s">
        <v>7841</v>
      </c>
      <c r="D7844" s="4" t="str">
        <f t="shared" si="674"/>
        <v>12Go Link</v>
      </c>
      <c r="E7844" s="3" t="s">
        <v>3197</v>
      </c>
      <c r="K7844" s="5"/>
    </row>
    <row r="7845">
      <c r="A7845" s="3" t="s">
        <v>7685</v>
      </c>
      <c r="B7845" s="3" t="s">
        <v>7786</v>
      </c>
      <c r="C7845" s="3" t="s">
        <v>7842</v>
      </c>
      <c r="D7845" s="4" t="str">
        <f t="shared" ref="D7845:D7846" si="675">HYPERLINK("https://12go.asia/en/travel/Ella/Hambantota", "12Go Link")</f>
        <v>12Go Link</v>
      </c>
      <c r="E7845" s="3" t="s">
        <v>3203</v>
      </c>
      <c r="K7845" s="5"/>
    </row>
    <row r="7846">
      <c r="A7846" s="3" t="s">
        <v>7685</v>
      </c>
      <c r="B7846" s="3" t="s">
        <v>7786</v>
      </c>
      <c r="C7846" s="3" t="s">
        <v>7842</v>
      </c>
      <c r="D7846" s="4" t="str">
        <f t="shared" si="675"/>
        <v>12Go Link</v>
      </c>
      <c r="E7846" s="3" t="s">
        <v>3197</v>
      </c>
      <c r="K7846" s="5"/>
    </row>
    <row r="7847">
      <c r="A7847" s="3" t="s">
        <v>7685</v>
      </c>
      <c r="B7847" s="3" t="s">
        <v>7843</v>
      </c>
      <c r="C7847" s="3" t="s">
        <v>7844</v>
      </c>
      <c r="D7847" s="4" t="str">
        <f t="shared" ref="D7847:D7849" si="676">HYPERLINK("https://12go.asia/en/travel/Ella/Haputale", "12Go Link")</f>
        <v>12Go Link</v>
      </c>
      <c r="E7847" s="3" t="s">
        <v>222</v>
      </c>
      <c r="K7847" s="5"/>
    </row>
    <row r="7848">
      <c r="A7848" s="3" t="s">
        <v>7685</v>
      </c>
      <c r="B7848" s="3" t="s">
        <v>7843</v>
      </c>
      <c r="C7848" s="3" t="s">
        <v>7844</v>
      </c>
      <c r="D7848" s="4" t="str">
        <f t="shared" si="676"/>
        <v>12Go Link</v>
      </c>
      <c r="E7848" s="3" t="s">
        <v>3203</v>
      </c>
      <c r="K7848" s="5"/>
    </row>
    <row r="7849">
      <c r="A7849" s="3" t="s">
        <v>7685</v>
      </c>
      <c r="B7849" s="3" t="s">
        <v>7843</v>
      </c>
      <c r="C7849" s="3" t="s">
        <v>7844</v>
      </c>
      <c r="D7849" s="4" t="str">
        <f t="shared" si="676"/>
        <v>12Go Link</v>
      </c>
      <c r="E7849" s="3" t="s">
        <v>3197</v>
      </c>
      <c r="K7849" s="5"/>
    </row>
    <row r="7850">
      <c r="A7850" s="3" t="s">
        <v>7685</v>
      </c>
      <c r="B7850" s="3" t="s">
        <v>7845</v>
      </c>
      <c r="C7850" s="3" t="s">
        <v>7846</v>
      </c>
      <c r="D7850" s="4" t="str">
        <f t="shared" ref="D7850:D7851" si="677">HYPERLINK("https://12go.asia/en/travel/Ella/Hikkaduwa", "12Go Link")</f>
        <v>12Go Link</v>
      </c>
      <c r="E7850" s="3" t="s">
        <v>3203</v>
      </c>
      <c r="K7850" s="5"/>
    </row>
    <row r="7851">
      <c r="A7851" s="3" t="s">
        <v>7685</v>
      </c>
      <c r="B7851" s="3" t="s">
        <v>7845</v>
      </c>
      <c r="C7851" s="3" t="s">
        <v>7846</v>
      </c>
      <c r="D7851" s="4" t="str">
        <f t="shared" si="677"/>
        <v>12Go Link</v>
      </c>
      <c r="E7851" s="3" t="s">
        <v>3197</v>
      </c>
      <c r="K7851" s="5"/>
    </row>
    <row r="7852">
      <c r="A7852" s="3" t="s">
        <v>7685</v>
      </c>
      <c r="B7852" s="3" t="s">
        <v>7793</v>
      </c>
      <c r="C7852" s="3" t="s">
        <v>7847</v>
      </c>
      <c r="D7852" s="4" t="str">
        <f t="shared" ref="D7852:D7854" si="678">HYPERLINK("https://12go.asia/en/travel/Ella/Kalutara", "12Go Link")</f>
        <v>12Go Link</v>
      </c>
      <c r="E7852" s="3" t="s">
        <v>222</v>
      </c>
      <c r="K7852" s="5"/>
    </row>
    <row r="7853">
      <c r="A7853" s="3" t="s">
        <v>7685</v>
      </c>
      <c r="B7853" s="3" t="s">
        <v>7793</v>
      </c>
      <c r="C7853" s="3" t="s">
        <v>7847</v>
      </c>
      <c r="D7853" s="4" t="str">
        <f t="shared" si="678"/>
        <v>12Go Link</v>
      </c>
      <c r="E7853" s="3" t="s">
        <v>3203</v>
      </c>
      <c r="K7853" s="5"/>
    </row>
    <row r="7854">
      <c r="A7854" s="3" t="s">
        <v>7685</v>
      </c>
      <c r="B7854" s="3" t="s">
        <v>7793</v>
      </c>
      <c r="C7854" s="3" t="s">
        <v>7847</v>
      </c>
      <c r="D7854" s="4" t="str">
        <f t="shared" si="678"/>
        <v>12Go Link</v>
      </c>
      <c r="E7854" s="3" t="s">
        <v>3197</v>
      </c>
      <c r="K7854" s="5"/>
    </row>
    <row r="7855">
      <c r="A7855" s="3" t="s">
        <v>7685</v>
      </c>
      <c r="B7855" s="3" t="s">
        <v>7797</v>
      </c>
      <c r="C7855" s="3" t="s">
        <v>7848</v>
      </c>
      <c r="D7855" s="4" t="str">
        <f t="shared" ref="D7855:D7856" si="679">HYPERLINK("https://12go.asia/en/travel/Ella/Kosgoda", "12Go Link")</f>
        <v>12Go Link</v>
      </c>
      <c r="E7855" s="3" t="s">
        <v>3203</v>
      </c>
      <c r="K7855" s="5"/>
    </row>
    <row r="7856">
      <c r="A7856" s="3" t="s">
        <v>7685</v>
      </c>
      <c r="B7856" s="3" t="s">
        <v>7797</v>
      </c>
      <c r="C7856" s="3" t="s">
        <v>7848</v>
      </c>
      <c r="D7856" s="4" t="str">
        <f t="shared" si="679"/>
        <v>12Go Link</v>
      </c>
      <c r="E7856" s="3" t="s">
        <v>3197</v>
      </c>
      <c r="K7856" s="5"/>
    </row>
    <row r="7857">
      <c r="A7857" s="3" t="s">
        <v>7685</v>
      </c>
      <c r="B7857" s="3" t="s">
        <v>7799</v>
      </c>
      <c r="C7857" s="3" t="s">
        <v>7849</v>
      </c>
      <c r="D7857" s="4" t="str">
        <f t="shared" ref="D7857:D7859" si="680">HYPERLINK("https://12go.asia/en/travel/Ella/Matara", "12Go Link")</f>
        <v>12Go Link</v>
      </c>
      <c r="E7857" s="3" t="s">
        <v>222</v>
      </c>
      <c r="K7857" s="5"/>
    </row>
    <row r="7858">
      <c r="A7858" s="3" t="s">
        <v>7685</v>
      </c>
      <c r="B7858" s="3" t="s">
        <v>7799</v>
      </c>
      <c r="C7858" s="3" t="s">
        <v>7849</v>
      </c>
      <c r="D7858" s="4" t="str">
        <f t="shared" si="680"/>
        <v>12Go Link</v>
      </c>
      <c r="E7858" s="3" t="s">
        <v>3203</v>
      </c>
      <c r="K7858" s="5"/>
    </row>
    <row r="7859">
      <c r="A7859" s="3" t="s">
        <v>7685</v>
      </c>
      <c r="B7859" s="3" t="s">
        <v>7799</v>
      </c>
      <c r="C7859" s="3" t="s">
        <v>7849</v>
      </c>
      <c r="D7859" s="4" t="str">
        <f t="shared" si="680"/>
        <v>12Go Link</v>
      </c>
      <c r="E7859" s="3" t="s">
        <v>3197</v>
      </c>
      <c r="K7859" s="5"/>
    </row>
    <row r="7860">
      <c r="A7860" s="3" t="s">
        <v>7685</v>
      </c>
      <c r="B7860" s="3" t="s">
        <v>7850</v>
      </c>
      <c r="C7860" s="3" t="s">
        <v>7851</v>
      </c>
      <c r="D7860" s="4" t="str">
        <f>HYPERLINK("https://12go.asia/en/travel/Ella/Mirissa", "12Go Link")</f>
        <v>12Go Link</v>
      </c>
      <c r="E7860" s="3" t="s">
        <v>222</v>
      </c>
      <c r="K7860" s="5"/>
    </row>
    <row r="7861">
      <c r="A7861" s="3" t="s">
        <v>7685</v>
      </c>
      <c r="B7861" s="3" t="s">
        <v>7811</v>
      </c>
      <c r="C7861" s="3" t="s">
        <v>7852</v>
      </c>
      <c r="D7861" s="4" t="str">
        <f t="shared" ref="D7861:D7862" si="681">HYPERLINK("https://12go.asia/en/travel/Ella/Unawatuna", "12Go Link")</f>
        <v>12Go Link</v>
      </c>
      <c r="E7861" s="3" t="s">
        <v>3203</v>
      </c>
      <c r="K7861" s="5"/>
    </row>
    <row r="7862">
      <c r="A7862" s="3" t="s">
        <v>7685</v>
      </c>
      <c r="B7862" s="3" t="s">
        <v>7811</v>
      </c>
      <c r="C7862" s="3" t="s">
        <v>7852</v>
      </c>
      <c r="D7862" s="4" t="str">
        <f t="shared" si="681"/>
        <v>12Go Link</v>
      </c>
      <c r="E7862" s="3" t="s">
        <v>3197</v>
      </c>
      <c r="K7862" s="5"/>
    </row>
    <row r="7863">
      <c r="A7863" s="3" t="s">
        <v>7685</v>
      </c>
      <c r="B7863" s="3" t="s">
        <v>7813</v>
      </c>
      <c r="C7863" s="3" t="s">
        <v>7853</v>
      </c>
      <c r="D7863" s="4" t="str">
        <f t="shared" ref="D7863:D7864" si="682">HYPERLINK("https://12go.asia/en/travel/Ella/Wadduwa", "12Go Link")</f>
        <v>12Go Link</v>
      </c>
      <c r="E7863" s="3" t="s">
        <v>3203</v>
      </c>
      <c r="K7863" s="5"/>
    </row>
    <row r="7864">
      <c r="A7864" s="3" t="s">
        <v>7685</v>
      </c>
      <c r="B7864" s="3" t="s">
        <v>7813</v>
      </c>
      <c r="C7864" s="3" t="s">
        <v>7853</v>
      </c>
      <c r="D7864" s="4" t="str">
        <f t="shared" si="682"/>
        <v>12Go Link</v>
      </c>
      <c r="E7864" s="3" t="s">
        <v>3197</v>
      </c>
      <c r="K7864" s="5"/>
    </row>
    <row r="7865">
      <c r="A7865" s="3" t="s">
        <v>7685</v>
      </c>
      <c r="B7865" s="3" t="s">
        <v>7813</v>
      </c>
      <c r="C7865" s="3" t="s">
        <v>7854</v>
      </c>
      <c r="D7865" s="4" t="str">
        <f t="shared" ref="D7865:D7866" si="683">HYPERLINK("https://12go.asia/en/travel/Ella/Waskaduwa", "12Go Link")</f>
        <v>12Go Link</v>
      </c>
      <c r="E7865" s="3" t="s">
        <v>3203</v>
      </c>
      <c r="K7865" s="5"/>
    </row>
    <row r="7866">
      <c r="A7866" s="3" t="s">
        <v>7685</v>
      </c>
      <c r="B7866" s="3" t="s">
        <v>7813</v>
      </c>
      <c r="C7866" s="3" t="s">
        <v>7854</v>
      </c>
      <c r="D7866" s="4" t="str">
        <f t="shared" si="683"/>
        <v>12Go Link</v>
      </c>
      <c r="E7866" s="3" t="s">
        <v>3197</v>
      </c>
      <c r="K7866" s="5"/>
    </row>
    <row r="7867">
      <c r="A7867" s="3" t="s">
        <v>7783</v>
      </c>
      <c r="B7867" s="3" t="s">
        <v>7706</v>
      </c>
      <c r="C7867" s="3" t="s">
        <v>7855</v>
      </c>
      <c r="D7867" s="4" t="str">
        <f t="shared" ref="D7867:D7868" si="684">HYPERLINK("https://12go.asia/en/travel/Koggala/Colombo", "12Go Link")</f>
        <v>12Go Link</v>
      </c>
      <c r="E7867" s="3" t="s">
        <v>3203</v>
      </c>
      <c r="K7867" s="5"/>
    </row>
    <row r="7868">
      <c r="A7868" s="3" t="s">
        <v>7783</v>
      </c>
      <c r="B7868" s="3" t="s">
        <v>7706</v>
      </c>
      <c r="C7868" s="3" t="s">
        <v>7855</v>
      </c>
      <c r="D7868" s="4" t="str">
        <f t="shared" si="684"/>
        <v>12Go Link</v>
      </c>
      <c r="E7868" s="3" t="s">
        <v>3197</v>
      </c>
      <c r="K7868" s="5"/>
    </row>
    <row r="7869">
      <c r="A7869" s="3" t="s">
        <v>7783</v>
      </c>
      <c r="B7869" s="3" t="s">
        <v>7706</v>
      </c>
      <c r="C7869" s="3" t="s">
        <v>7856</v>
      </c>
      <c r="D7869" s="4" t="str">
        <f t="shared" ref="D7869:D7870" si="685">HYPERLINK("https://12go.asia/en/travel/Talpe/Colombo", "12Go Link")</f>
        <v>12Go Link</v>
      </c>
      <c r="E7869" s="3" t="s">
        <v>3203</v>
      </c>
      <c r="K7869" s="5"/>
    </row>
    <row r="7870">
      <c r="A7870" s="3" t="s">
        <v>7783</v>
      </c>
      <c r="B7870" s="3" t="s">
        <v>7706</v>
      </c>
      <c r="C7870" s="3" t="s">
        <v>7856</v>
      </c>
      <c r="D7870" s="4" t="str">
        <f t="shared" si="685"/>
        <v>12Go Link</v>
      </c>
      <c r="E7870" s="3" t="s">
        <v>3197</v>
      </c>
      <c r="K7870" s="5"/>
    </row>
    <row r="7871">
      <c r="A7871" s="3" t="s">
        <v>7783</v>
      </c>
      <c r="B7871" s="3" t="s">
        <v>7708</v>
      </c>
      <c r="C7871" s="3" t="s">
        <v>7857</v>
      </c>
      <c r="D7871" s="4" t="str">
        <f t="shared" ref="D7871:D7872" si="686">HYPERLINK("https://12go.asia/en/travel/Talpe/Bandaranaike-Airport", "12Go Link")</f>
        <v>12Go Link</v>
      </c>
      <c r="E7871" s="3" t="s">
        <v>3203</v>
      </c>
      <c r="K7871" s="5"/>
    </row>
    <row r="7872">
      <c r="A7872" s="3" t="s">
        <v>7783</v>
      </c>
      <c r="B7872" s="3" t="s">
        <v>7708</v>
      </c>
      <c r="C7872" s="3" t="s">
        <v>7857</v>
      </c>
      <c r="D7872" s="4" t="str">
        <f t="shared" si="686"/>
        <v>12Go Link</v>
      </c>
      <c r="E7872" s="3" t="s">
        <v>3197</v>
      </c>
      <c r="K7872" s="5"/>
    </row>
    <row r="7873">
      <c r="A7873" s="3" t="s">
        <v>7783</v>
      </c>
      <c r="B7873" s="3" t="s">
        <v>7683</v>
      </c>
      <c r="C7873" s="3" t="s">
        <v>7858</v>
      </c>
      <c r="D7873" s="4" t="str">
        <f t="shared" ref="D7873:D7874" si="687">HYPERLINK("https://12go.asia/en/travel/Galle/Dambulla", "12Go Link")</f>
        <v>12Go Link</v>
      </c>
      <c r="E7873" s="3" t="s">
        <v>3203</v>
      </c>
      <c r="K7873" s="5"/>
    </row>
    <row r="7874">
      <c r="A7874" s="3" t="s">
        <v>7783</v>
      </c>
      <c r="B7874" s="3" t="s">
        <v>7683</v>
      </c>
      <c r="C7874" s="3" t="s">
        <v>7858</v>
      </c>
      <c r="D7874" s="4" t="str">
        <f t="shared" si="687"/>
        <v>12Go Link</v>
      </c>
      <c r="E7874" s="3" t="s">
        <v>3197</v>
      </c>
      <c r="K7874" s="5"/>
    </row>
    <row r="7875">
      <c r="A7875" s="3" t="s">
        <v>7783</v>
      </c>
      <c r="B7875" s="3" t="s">
        <v>7685</v>
      </c>
      <c r="C7875" s="3" t="s">
        <v>7859</v>
      </c>
      <c r="D7875" s="4" t="str">
        <f t="shared" ref="D7875:D7876" si="688">HYPERLINK("https://12go.asia/en/travel/Galle/Ella", "12Go Link")</f>
        <v>12Go Link</v>
      </c>
      <c r="E7875" s="3" t="s">
        <v>3203</v>
      </c>
      <c r="K7875" s="5"/>
    </row>
    <row r="7876">
      <c r="A7876" s="3" t="s">
        <v>7783</v>
      </c>
      <c r="B7876" s="3" t="s">
        <v>7685</v>
      </c>
      <c r="C7876" s="3" t="s">
        <v>7859</v>
      </c>
      <c r="D7876" s="4" t="str">
        <f t="shared" si="688"/>
        <v>12Go Link</v>
      </c>
      <c r="E7876" s="3" t="s">
        <v>3197</v>
      </c>
      <c r="K7876" s="5"/>
    </row>
    <row r="7877">
      <c r="A7877" s="3" t="s">
        <v>7783</v>
      </c>
      <c r="B7877" s="3" t="s">
        <v>7685</v>
      </c>
      <c r="C7877" s="3" t="s">
        <v>7860</v>
      </c>
      <c r="D7877" s="4" t="str">
        <f t="shared" ref="D7877:D7878" si="689">HYPERLINK("https://12go.asia/en/travel/Koggala/Ella", "12Go Link")</f>
        <v>12Go Link</v>
      </c>
      <c r="E7877" s="3" t="s">
        <v>3203</v>
      </c>
      <c r="K7877" s="5"/>
    </row>
    <row r="7878">
      <c r="A7878" s="3" t="s">
        <v>7783</v>
      </c>
      <c r="B7878" s="3" t="s">
        <v>7685</v>
      </c>
      <c r="C7878" s="3" t="s">
        <v>7860</v>
      </c>
      <c r="D7878" s="4" t="str">
        <f t="shared" si="689"/>
        <v>12Go Link</v>
      </c>
      <c r="E7878" s="3" t="s">
        <v>3197</v>
      </c>
      <c r="K7878" s="5"/>
    </row>
    <row r="7879">
      <c r="A7879" s="3" t="s">
        <v>7783</v>
      </c>
      <c r="B7879" s="3" t="s">
        <v>7685</v>
      </c>
      <c r="C7879" s="3" t="s">
        <v>7861</v>
      </c>
      <c r="D7879" s="4" t="str">
        <f t="shared" ref="D7879:D7880" si="690">HYPERLINK("https://12go.asia/en/travel/Talpe/Ella", "12Go Link")</f>
        <v>12Go Link</v>
      </c>
      <c r="E7879" s="3" t="s">
        <v>3203</v>
      </c>
      <c r="K7879" s="5"/>
    </row>
    <row r="7880">
      <c r="A7880" s="3" t="s">
        <v>7783</v>
      </c>
      <c r="B7880" s="3" t="s">
        <v>7685</v>
      </c>
      <c r="C7880" s="3" t="s">
        <v>7861</v>
      </c>
      <c r="D7880" s="4" t="str">
        <f t="shared" si="690"/>
        <v>12Go Link</v>
      </c>
      <c r="E7880" s="3" t="s">
        <v>3197</v>
      </c>
      <c r="K7880" s="5"/>
    </row>
    <row r="7881">
      <c r="A7881" s="3" t="s">
        <v>7783</v>
      </c>
      <c r="B7881" s="3" t="s">
        <v>7689</v>
      </c>
      <c r="C7881" s="3" t="s">
        <v>7862</v>
      </c>
      <c r="D7881" s="4" t="str">
        <f t="shared" ref="D7881:D7882" si="691">HYPERLINK("https://12go.asia/en/travel/Galle/Negombo", "12Go Link")</f>
        <v>12Go Link</v>
      </c>
      <c r="E7881" s="3" t="s">
        <v>3203</v>
      </c>
      <c r="K7881" s="5"/>
    </row>
    <row r="7882">
      <c r="A7882" s="3" t="s">
        <v>7783</v>
      </c>
      <c r="B7882" s="3" t="s">
        <v>7689</v>
      </c>
      <c r="C7882" s="3" t="s">
        <v>7862</v>
      </c>
      <c r="D7882" s="4" t="str">
        <f t="shared" si="691"/>
        <v>12Go Link</v>
      </c>
      <c r="E7882" s="3" t="s">
        <v>3197</v>
      </c>
      <c r="K7882" s="5"/>
    </row>
    <row r="7883">
      <c r="A7883" s="3" t="s">
        <v>7783</v>
      </c>
      <c r="B7883" s="3" t="s">
        <v>7689</v>
      </c>
      <c r="C7883" s="3" t="s">
        <v>7863</v>
      </c>
      <c r="D7883" s="4" t="str">
        <f t="shared" ref="D7883:D7884" si="692">HYPERLINK("https://12go.asia/en/travel/Koggala/Negombo", "12Go Link")</f>
        <v>12Go Link</v>
      </c>
      <c r="E7883" s="3" t="s">
        <v>3203</v>
      </c>
      <c r="K7883" s="5"/>
    </row>
    <row r="7884">
      <c r="A7884" s="3" t="s">
        <v>7783</v>
      </c>
      <c r="B7884" s="3" t="s">
        <v>7689</v>
      </c>
      <c r="C7884" s="3" t="s">
        <v>7863</v>
      </c>
      <c r="D7884" s="4" t="str">
        <f t="shared" si="692"/>
        <v>12Go Link</v>
      </c>
      <c r="E7884" s="3" t="s">
        <v>3197</v>
      </c>
      <c r="K7884" s="5"/>
    </row>
    <row r="7885">
      <c r="A7885" s="3" t="s">
        <v>7783</v>
      </c>
      <c r="B7885" s="3" t="s">
        <v>7689</v>
      </c>
      <c r="C7885" s="3" t="s">
        <v>7864</v>
      </c>
      <c r="D7885" s="4" t="str">
        <f t="shared" ref="D7885:D7886" si="693">HYPERLINK("https://12go.asia/en/travel/Talpe/Negombo", "12Go Link")</f>
        <v>12Go Link</v>
      </c>
      <c r="E7885" s="3" t="s">
        <v>3203</v>
      </c>
      <c r="K7885" s="5"/>
    </row>
    <row r="7886">
      <c r="A7886" s="3" t="s">
        <v>7783</v>
      </c>
      <c r="B7886" s="3" t="s">
        <v>7689</v>
      </c>
      <c r="C7886" s="3" t="s">
        <v>7864</v>
      </c>
      <c r="D7886" s="4" t="str">
        <f t="shared" si="693"/>
        <v>12Go Link</v>
      </c>
      <c r="E7886" s="3" t="s">
        <v>3197</v>
      </c>
      <c r="K7886" s="5"/>
    </row>
    <row r="7887">
      <c r="A7887" s="3" t="s">
        <v>7783</v>
      </c>
      <c r="B7887" s="3" t="s">
        <v>7695</v>
      </c>
      <c r="C7887" s="3" t="s">
        <v>7865</v>
      </c>
      <c r="D7887" s="4" t="str">
        <f t="shared" ref="D7887:D7888" si="694">HYPERLINK("https://12go.asia/en/travel/Galle/Tissamaharama", "12Go Link")</f>
        <v>12Go Link</v>
      </c>
      <c r="E7887" s="3" t="s">
        <v>3203</v>
      </c>
      <c r="K7887" s="5"/>
    </row>
    <row r="7888">
      <c r="A7888" s="3" t="s">
        <v>7783</v>
      </c>
      <c r="B7888" s="3" t="s">
        <v>7695</v>
      </c>
      <c r="C7888" s="3" t="s">
        <v>7865</v>
      </c>
      <c r="D7888" s="4" t="str">
        <f t="shared" si="694"/>
        <v>12Go Link</v>
      </c>
      <c r="E7888" s="3" t="s">
        <v>3197</v>
      </c>
      <c r="K7888" s="5"/>
    </row>
    <row r="7889">
      <c r="A7889" s="3" t="s">
        <v>7783</v>
      </c>
      <c r="B7889" s="3" t="s">
        <v>7695</v>
      </c>
      <c r="C7889" s="3" t="s">
        <v>7866</v>
      </c>
      <c r="D7889" s="4" t="str">
        <f t="shared" ref="D7889:D7890" si="695">HYPERLINK("https://12go.asia/en/travel/Galle/Yala-Park", "12Go Link")</f>
        <v>12Go Link</v>
      </c>
      <c r="E7889" s="3" t="s">
        <v>3203</v>
      </c>
      <c r="K7889" s="5"/>
    </row>
    <row r="7890">
      <c r="A7890" s="3" t="s">
        <v>7783</v>
      </c>
      <c r="B7890" s="3" t="s">
        <v>7695</v>
      </c>
      <c r="C7890" s="3" t="s">
        <v>7866</v>
      </c>
      <c r="D7890" s="4" t="str">
        <f t="shared" si="695"/>
        <v>12Go Link</v>
      </c>
      <c r="E7890" s="3" t="s">
        <v>3197</v>
      </c>
      <c r="K7890" s="5"/>
    </row>
    <row r="7891">
      <c r="A7891" s="3" t="s">
        <v>7783</v>
      </c>
      <c r="B7891" s="3" t="s">
        <v>7695</v>
      </c>
      <c r="C7891" s="3" t="s">
        <v>7867</v>
      </c>
      <c r="D7891" s="4" t="str">
        <f t="shared" ref="D7891:D7892" si="696">HYPERLINK("https://12go.asia/en/travel/Koggala/Yala-Park", "12Go Link")</f>
        <v>12Go Link</v>
      </c>
      <c r="E7891" s="3" t="s">
        <v>3203</v>
      </c>
      <c r="K7891" s="5"/>
    </row>
    <row r="7892">
      <c r="A7892" s="3" t="s">
        <v>7783</v>
      </c>
      <c r="B7892" s="3" t="s">
        <v>7695</v>
      </c>
      <c r="C7892" s="3" t="s">
        <v>7867</v>
      </c>
      <c r="D7892" s="4" t="str">
        <f t="shared" si="696"/>
        <v>12Go Link</v>
      </c>
      <c r="E7892" s="3" t="s">
        <v>3197</v>
      </c>
      <c r="K7892" s="5"/>
    </row>
    <row r="7893">
      <c r="A7893" s="3" t="s">
        <v>7783</v>
      </c>
      <c r="B7893" s="3" t="s">
        <v>7695</v>
      </c>
      <c r="C7893" s="3" t="s">
        <v>7868</v>
      </c>
      <c r="D7893" s="4" t="str">
        <f t="shared" ref="D7893:D7894" si="697">HYPERLINK("https://12go.asia/en/travel/Talpe/Yala-Park", "12Go Link")</f>
        <v>12Go Link</v>
      </c>
      <c r="E7893" s="3" t="s">
        <v>3203</v>
      </c>
      <c r="K7893" s="5"/>
    </row>
    <row r="7894">
      <c r="A7894" s="3" t="s">
        <v>7783</v>
      </c>
      <c r="B7894" s="3" t="s">
        <v>7695</v>
      </c>
      <c r="C7894" s="3" t="s">
        <v>7868</v>
      </c>
      <c r="D7894" s="4" t="str">
        <f t="shared" si="697"/>
        <v>12Go Link</v>
      </c>
      <c r="E7894" s="3" t="s">
        <v>3197</v>
      </c>
      <c r="K7894" s="5"/>
    </row>
    <row r="7895">
      <c r="A7895" s="3" t="s">
        <v>7743</v>
      </c>
      <c r="B7895" s="3" t="s">
        <v>7747</v>
      </c>
      <c r="C7895" s="3" t="s">
        <v>7869</v>
      </c>
      <c r="D7895" s="4" t="str">
        <f t="shared" ref="D7895:D7897" si="698">HYPERLINK("https://12go.asia/en/travel/Habarana/Trincomalee", "12Go Link")</f>
        <v>12Go Link</v>
      </c>
      <c r="E7895" s="3" t="s">
        <v>222</v>
      </c>
      <c r="K7895" s="5"/>
    </row>
    <row r="7896">
      <c r="A7896" s="3" t="s">
        <v>7743</v>
      </c>
      <c r="B7896" s="3" t="s">
        <v>7747</v>
      </c>
      <c r="C7896" s="3" t="s">
        <v>7869</v>
      </c>
      <c r="D7896" s="4" t="str">
        <f t="shared" si="698"/>
        <v>12Go Link</v>
      </c>
      <c r="E7896" s="3" t="s">
        <v>3203</v>
      </c>
      <c r="K7896" s="5"/>
    </row>
    <row r="7897">
      <c r="A7897" s="3" t="s">
        <v>7743</v>
      </c>
      <c r="B7897" s="3" t="s">
        <v>7747</v>
      </c>
      <c r="C7897" s="3" t="s">
        <v>7869</v>
      </c>
      <c r="D7897" s="4" t="str">
        <f t="shared" si="698"/>
        <v>12Go Link</v>
      </c>
      <c r="E7897" s="3" t="s">
        <v>3197</v>
      </c>
      <c r="K7897" s="5"/>
    </row>
    <row r="7898">
      <c r="A7898" s="3" t="s">
        <v>7786</v>
      </c>
      <c r="B7898" s="3" t="s">
        <v>7706</v>
      </c>
      <c r="C7898" s="3" t="s">
        <v>7870</v>
      </c>
      <c r="D7898" s="4" t="str">
        <f t="shared" ref="D7898:D7899" si="699">HYPERLINK("https://12go.asia/en/travel/Hambantota/Colombo", "12Go Link")</f>
        <v>12Go Link</v>
      </c>
      <c r="E7898" s="3" t="s">
        <v>3203</v>
      </c>
      <c r="K7898" s="5"/>
    </row>
    <row r="7899">
      <c r="A7899" s="3" t="s">
        <v>7786</v>
      </c>
      <c r="B7899" s="3" t="s">
        <v>7706</v>
      </c>
      <c r="C7899" s="3" t="s">
        <v>7870</v>
      </c>
      <c r="D7899" s="4" t="str">
        <f t="shared" si="699"/>
        <v>12Go Link</v>
      </c>
      <c r="E7899" s="3" t="s">
        <v>3197</v>
      </c>
      <c r="K7899" s="5"/>
    </row>
    <row r="7900">
      <c r="A7900" s="3" t="s">
        <v>7786</v>
      </c>
      <c r="B7900" s="3" t="s">
        <v>7708</v>
      </c>
      <c r="C7900" s="3" t="s">
        <v>7871</v>
      </c>
      <c r="D7900" s="4" t="str">
        <f t="shared" ref="D7900:D7901" si="700">HYPERLINK("https://12go.asia/en/travel/Hambantota/Bandaranaike-Airport", "12Go Link")</f>
        <v>12Go Link</v>
      </c>
      <c r="E7900" s="3" t="s">
        <v>3203</v>
      </c>
      <c r="K7900" s="5"/>
    </row>
    <row r="7901">
      <c r="A7901" s="3" t="s">
        <v>7786</v>
      </c>
      <c r="B7901" s="3" t="s">
        <v>7708</v>
      </c>
      <c r="C7901" s="3" t="s">
        <v>7871</v>
      </c>
      <c r="D7901" s="4" t="str">
        <f t="shared" si="700"/>
        <v>12Go Link</v>
      </c>
      <c r="E7901" s="3" t="s">
        <v>3197</v>
      </c>
      <c r="K7901" s="5"/>
    </row>
    <row r="7902">
      <c r="A7902" s="3" t="s">
        <v>7786</v>
      </c>
      <c r="B7902" s="3" t="s">
        <v>7683</v>
      </c>
      <c r="C7902" s="3" t="s">
        <v>7872</v>
      </c>
      <c r="D7902" s="4" t="str">
        <f t="shared" ref="D7902:D7903" si="701">HYPERLINK("https://12go.asia/en/travel/Hambantota/Dambulla", "12Go Link")</f>
        <v>12Go Link</v>
      </c>
      <c r="E7902" s="3" t="s">
        <v>3203</v>
      </c>
      <c r="K7902" s="5"/>
    </row>
    <row r="7903">
      <c r="A7903" s="3" t="s">
        <v>7786</v>
      </c>
      <c r="B7903" s="3" t="s">
        <v>7683</v>
      </c>
      <c r="C7903" s="3" t="s">
        <v>7872</v>
      </c>
      <c r="D7903" s="4" t="str">
        <f t="shared" si="701"/>
        <v>12Go Link</v>
      </c>
      <c r="E7903" s="3" t="s">
        <v>3197</v>
      </c>
      <c r="K7903" s="5"/>
    </row>
    <row r="7904">
      <c r="A7904" s="3" t="s">
        <v>7786</v>
      </c>
      <c r="B7904" s="3" t="s">
        <v>7687</v>
      </c>
      <c r="C7904" s="3" t="s">
        <v>7873</v>
      </c>
      <c r="D7904" s="4" t="str">
        <f t="shared" ref="D7904:D7905" si="702">HYPERLINK("https://12go.asia/en/travel/Hambantota/Kandy", "12Go Link")</f>
        <v>12Go Link</v>
      </c>
      <c r="E7904" s="3" t="s">
        <v>3203</v>
      </c>
      <c r="K7904" s="5"/>
    </row>
    <row r="7905">
      <c r="A7905" s="3" t="s">
        <v>7786</v>
      </c>
      <c r="B7905" s="3" t="s">
        <v>7687</v>
      </c>
      <c r="C7905" s="3" t="s">
        <v>7873</v>
      </c>
      <c r="D7905" s="4" t="str">
        <f t="shared" si="702"/>
        <v>12Go Link</v>
      </c>
      <c r="E7905" s="3" t="s">
        <v>3197</v>
      </c>
      <c r="K7905" s="5"/>
    </row>
    <row r="7906">
      <c r="A7906" s="3" t="s">
        <v>7786</v>
      </c>
      <c r="B7906" s="3" t="s">
        <v>7689</v>
      </c>
      <c r="C7906" s="3" t="s">
        <v>7874</v>
      </c>
      <c r="D7906" s="4" t="str">
        <f t="shared" ref="D7906:D7907" si="703">HYPERLINK("https://12go.asia/en/travel/Hambantota/Negombo", "12Go Link")</f>
        <v>12Go Link</v>
      </c>
      <c r="E7906" s="3" t="s">
        <v>3203</v>
      </c>
      <c r="K7906" s="5"/>
    </row>
    <row r="7907">
      <c r="A7907" s="3" t="s">
        <v>7786</v>
      </c>
      <c r="B7907" s="3" t="s">
        <v>7689</v>
      </c>
      <c r="C7907" s="3" t="s">
        <v>7874</v>
      </c>
      <c r="D7907" s="4" t="str">
        <f t="shared" si="703"/>
        <v>12Go Link</v>
      </c>
      <c r="E7907" s="3" t="s">
        <v>3197</v>
      </c>
      <c r="K7907" s="5"/>
    </row>
    <row r="7908">
      <c r="A7908" s="3" t="s">
        <v>7786</v>
      </c>
      <c r="B7908" s="3" t="s">
        <v>7691</v>
      </c>
      <c r="C7908" s="3" t="s">
        <v>7875</v>
      </c>
      <c r="D7908" s="4" t="str">
        <f t="shared" ref="D7908:D7909" si="704">HYPERLINK("https://12go.asia/en/travel/Hambantota/Nuwara-Eliya", "12Go Link")</f>
        <v>12Go Link</v>
      </c>
      <c r="E7908" s="3" t="s">
        <v>3203</v>
      </c>
      <c r="K7908" s="5"/>
    </row>
    <row r="7909">
      <c r="A7909" s="3" t="s">
        <v>7786</v>
      </c>
      <c r="B7909" s="3" t="s">
        <v>7691</v>
      </c>
      <c r="C7909" s="3" t="s">
        <v>7875</v>
      </c>
      <c r="D7909" s="4" t="str">
        <f t="shared" si="704"/>
        <v>12Go Link</v>
      </c>
      <c r="E7909" s="3" t="s">
        <v>3197</v>
      </c>
      <c r="K7909" s="5"/>
    </row>
    <row r="7910">
      <c r="A7910" s="3" t="s">
        <v>7786</v>
      </c>
      <c r="B7910" s="3" t="s">
        <v>7693</v>
      </c>
      <c r="C7910" s="3" t="s">
        <v>7876</v>
      </c>
      <c r="D7910" s="4" t="str">
        <f t="shared" ref="D7910:D7911" si="705">HYPERLINK("https://12go.asia/en/travel/Hambantota/Sigiriya", "12Go Link")</f>
        <v>12Go Link</v>
      </c>
      <c r="E7910" s="3" t="s">
        <v>3203</v>
      </c>
      <c r="K7910" s="5"/>
    </row>
    <row r="7911">
      <c r="A7911" s="3" t="s">
        <v>7786</v>
      </c>
      <c r="B7911" s="3" t="s">
        <v>7693</v>
      </c>
      <c r="C7911" s="3" t="s">
        <v>7876</v>
      </c>
      <c r="D7911" s="4" t="str">
        <f t="shared" si="705"/>
        <v>12Go Link</v>
      </c>
      <c r="E7911" s="3" t="s">
        <v>3197</v>
      </c>
      <c r="K7911" s="5"/>
    </row>
    <row r="7912">
      <c r="A7912" s="3" t="s">
        <v>7788</v>
      </c>
      <c r="B7912" s="3" t="s">
        <v>7685</v>
      </c>
      <c r="C7912" s="3" t="s">
        <v>7877</v>
      </c>
      <c r="D7912" s="4" t="str">
        <f t="shared" ref="D7912:D7914" si="706">HYPERLINK("https://12go.asia/en/travel/Hatton/Ella", "12Go Link")</f>
        <v>12Go Link</v>
      </c>
      <c r="E7912" s="3" t="s">
        <v>222</v>
      </c>
      <c r="K7912" s="5"/>
    </row>
    <row r="7913">
      <c r="A7913" s="3" t="s">
        <v>7788</v>
      </c>
      <c r="B7913" s="3" t="s">
        <v>7685</v>
      </c>
      <c r="C7913" s="3" t="s">
        <v>7877</v>
      </c>
      <c r="D7913" s="4" t="str">
        <f t="shared" si="706"/>
        <v>12Go Link</v>
      </c>
      <c r="E7913" s="3" t="s">
        <v>3203</v>
      </c>
      <c r="K7913" s="5"/>
    </row>
    <row r="7914">
      <c r="A7914" s="3" t="s">
        <v>7788</v>
      </c>
      <c r="B7914" s="3" t="s">
        <v>7685</v>
      </c>
      <c r="C7914" s="3" t="s">
        <v>7877</v>
      </c>
      <c r="D7914" s="4" t="str">
        <f t="shared" si="706"/>
        <v>12Go Link</v>
      </c>
      <c r="E7914" s="3" t="s">
        <v>3197</v>
      </c>
      <c r="K7914" s="5"/>
    </row>
    <row r="7915">
      <c r="A7915" s="3" t="s">
        <v>7845</v>
      </c>
      <c r="B7915" s="3" t="s">
        <v>7706</v>
      </c>
      <c r="C7915" s="3" t="s">
        <v>7878</v>
      </c>
      <c r="D7915" s="4" t="str">
        <f t="shared" ref="D7915:D7916" si="707">HYPERLINK("https://12go.asia/en/travel/Hikkaduwa/Colombo", "12Go Link")</f>
        <v>12Go Link</v>
      </c>
      <c r="E7915" s="3" t="s">
        <v>3203</v>
      </c>
      <c r="K7915" s="5"/>
    </row>
    <row r="7916">
      <c r="A7916" s="3" t="s">
        <v>7845</v>
      </c>
      <c r="B7916" s="3" t="s">
        <v>7706</v>
      </c>
      <c r="C7916" s="3" t="s">
        <v>7878</v>
      </c>
      <c r="D7916" s="4" t="str">
        <f t="shared" si="707"/>
        <v>12Go Link</v>
      </c>
      <c r="E7916" s="3" t="s">
        <v>3197</v>
      </c>
      <c r="K7916" s="5"/>
    </row>
    <row r="7917">
      <c r="A7917" s="3" t="s">
        <v>7845</v>
      </c>
      <c r="B7917" s="3" t="s">
        <v>7685</v>
      </c>
      <c r="C7917" s="3" t="s">
        <v>7879</v>
      </c>
      <c r="D7917" s="4" t="str">
        <f t="shared" ref="D7917:D7918" si="708">HYPERLINK("https://12go.asia/en/travel/Hikkaduwa/Ella", "12Go Link")</f>
        <v>12Go Link</v>
      </c>
      <c r="E7917" s="3" t="s">
        <v>3203</v>
      </c>
      <c r="K7917" s="5"/>
    </row>
    <row r="7918">
      <c r="A7918" s="3" t="s">
        <v>7845</v>
      </c>
      <c r="B7918" s="3" t="s">
        <v>7685</v>
      </c>
      <c r="C7918" s="3" t="s">
        <v>7879</v>
      </c>
      <c r="D7918" s="4" t="str">
        <f t="shared" si="708"/>
        <v>12Go Link</v>
      </c>
      <c r="E7918" s="3" t="s">
        <v>3197</v>
      </c>
      <c r="K7918" s="5"/>
    </row>
    <row r="7919">
      <c r="A7919" s="3" t="s">
        <v>7845</v>
      </c>
      <c r="B7919" s="3" t="s">
        <v>7783</v>
      </c>
      <c r="C7919" s="3" t="s">
        <v>7880</v>
      </c>
      <c r="D7919" s="4" t="str">
        <f t="shared" ref="D7919:D7921" si="709">HYPERLINK("https://12go.asia/en/travel/Hikkaduwa/Galle", "12Go Link")</f>
        <v>12Go Link</v>
      </c>
      <c r="E7919" s="3" t="s">
        <v>222</v>
      </c>
      <c r="K7919" s="5"/>
    </row>
    <row r="7920">
      <c r="A7920" s="3" t="s">
        <v>7845</v>
      </c>
      <c r="B7920" s="3" t="s">
        <v>7783</v>
      </c>
      <c r="C7920" s="3" t="s">
        <v>7880</v>
      </c>
      <c r="D7920" s="4" t="str">
        <f t="shared" si="709"/>
        <v>12Go Link</v>
      </c>
      <c r="E7920" s="3" t="s">
        <v>3203</v>
      </c>
      <c r="K7920" s="5"/>
    </row>
    <row r="7921">
      <c r="A7921" s="3" t="s">
        <v>7845</v>
      </c>
      <c r="B7921" s="3" t="s">
        <v>7783</v>
      </c>
      <c r="C7921" s="3" t="s">
        <v>7880</v>
      </c>
      <c r="D7921" s="4" t="str">
        <f t="shared" si="709"/>
        <v>12Go Link</v>
      </c>
      <c r="E7921" s="3" t="s">
        <v>3197</v>
      </c>
      <c r="K7921" s="5"/>
    </row>
    <row r="7922">
      <c r="A7922" s="3" t="s">
        <v>7845</v>
      </c>
      <c r="B7922" s="3" t="s">
        <v>7850</v>
      </c>
      <c r="C7922" s="3" t="s">
        <v>7881</v>
      </c>
      <c r="D7922" s="4" t="str">
        <f t="shared" ref="D7922:D7924" si="710">HYPERLINK("https://12go.asia/en/travel/Hikkaduwa/Mirissa", "12Go Link")</f>
        <v>12Go Link</v>
      </c>
      <c r="E7922" s="3" t="s">
        <v>222</v>
      </c>
      <c r="K7922" s="5"/>
    </row>
    <row r="7923">
      <c r="A7923" s="3" t="s">
        <v>7845</v>
      </c>
      <c r="B7923" s="3" t="s">
        <v>7850</v>
      </c>
      <c r="C7923" s="3" t="s">
        <v>7881</v>
      </c>
      <c r="D7923" s="4" t="str">
        <f t="shared" si="710"/>
        <v>12Go Link</v>
      </c>
      <c r="E7923" s="3" t="s">
        <v>3203</v>
      </c>
      <c r="K7923" s="5"/>
    </row>
    <row r="7924">
      <c r="A7924" s="3" t="s">
        <v>7845</v>
      </c>
      <c r="B7924" s="3" t="s">
        <v>7850</v>
      </c>
      <c r="C7924" s="3" t="s">
        <v>7881</v>
      </c>
      <c r="D7924" s="4" t="str">
        <f t="shared" si="710"/>
        <v>12Go Link</v>
      </c>
      <c r="E7924" s="3" t="s">
        <v>3197</v>
      </c>
      <c r="K7924" s="5"/>
    </row>
    <row r="7925">
      <c r="A7925" s="3" t="s">
        <v>7845</v>
      </c>
      <c r="B7925" s="3" t="s">
        <v>7695</v>
      </c>
      <c r="C7925" s="3" t="s">
        <v>7882</v>
      </c>
      <c r="D7925" s="4" t="str">
        <f t="shared" ref="D7925:D7926" si="711">HYPERLINK("https://12go.asia/en/travel/Hikkaduwa/Yala-Park", "12Go Link")</f>
        <v>12Go Link</v>
      </c>
      <c r="E7925" s="3" t="s">
        <v>3203</v>
      </c>
      <c r="K7925" s="5"/>
    </row>
    <row r="7926">
      <c r="A7926" s="3" t="s">
        <v>7845</v>
      </c>
      <c r="B7926" s="3" t="s">
        <v>7695</v>
      </c>
      <c r="C7926" s="3" t="s">
        <v>7882</v>
      </c>
      <c r="D7926" s="4" t="str">
        <f t="shared" si="711"/>
        <v>12Go Link</v>
      </c>
      <c r="E7926" s="3" t="s">
        <v>3197</v>
      </c>
      <c r="K7926" s="5"/>
    </row>
    <row r="7927">
      <c r="A7927" s="3" t="s">
        <v>7790</v>
      </c>
      <c r="B7927" s="3" t="s">
        <v>7706</v>
      </c>
      <c r="C7927" s="3" t="s">
        <v>7883</v>
      </c>
      <c r="D7927" s="4" t="str">
        <f t="shared" ref="D7927:D7929" si="712">HYPERLINK("https://12go.asia/en/travel/Induruwa/Colombo", "12Go Link")</f>
        <v>12Go Link</v>
      </c>
      <c r="E7927" s="3" t="s">
        <v>222</v>
      </c>
      <c r="K7927" s="5"/>
    </row>
    <row r="7928">
      <c r="A7928" s="3" t="s">
        <v>7790</v>
      </c>
      <c r="B7928" s="3" t="s">
        <v>7706</v>
      </c>
      <c r="C7928" s="3" t="s">
        <v>7883</v>
      </c>
      <c r="D7928" s="4" t="str">
        <f t="shared" si="712"/>
        <v>12Go Link</v>
      </c>
      <c r="E7928" s="3" t="s">
        <v>3203</v>
      </c>
      <c r="K7928" s="5"/>
    </row>
    <row r="7929">
      <c r="A7929" s="3" t="s">
        <v>7790</v>
      </c>
      <c r="B7929" s="3" t="s">
        <v>7706</v>
      </c>
      <c r="C7929" s="3" t="s">
        <v>7883</v>
      </c>
      <c r="D7929" s="4" t="str">
        <f t="shared" si="712"/>
        <v>12Go Link</v>
      </c>
      <c r="E7929" s="3" t="s">
        <v>3197</v>
      </c>
      <c r="K7929" s="5"/>
    </row>
    <row r="7930">
      <c r="A7930" s="3" t="s">
        <v>7790</v>
      </c>
      <c r="B7930" s="3" t="s">
        <v>7685</v>
      </c>
      <c r="C7930" s="3" t="s">
        <v>7884</v>
      </c>
      <c r="D7930" s="4" t="str">
        <f t="shared" ref="D7930:D7932" si="713">HYPERLINK("https://12go.asia/en/travel/Induruwa/Ella", "12Go Link")</f>
        <v>12Go Link</v>
      </c>
      <c r="E7930" s="3" t="s">
        <v>222</v>
      </c>
      <c r="K7930" s="5"/>
    </row>
    <row r="7931">
      <c r="A7931" s="3" t="s">
        <v>7790</v>
      </c>
      <c r="B7931" s="3" t="s">
        <v>7685</v>
      </c>
      <c r="C7931" s="3" t="s">
        <v>7884</v>
      </c>
      <c r="D7931" s="4" t="str">
        <f t="shared" si="713"/>
        <v>12Go Link</v>
      </c>
      <c r="E7931" s="3" t="s">
        <v>3203</v>
      </c>
      <c r="K7931" s="5"/>
    </row>
    <row r="7932">
      <c r="A7932" s="3" t="s">
        <v>7790</v>
      </c>
      <c r="B7932" s="3" t="s">
        <v>7685</v>
      </c>
      <c r="C7932" s="3" t="s">
        <v>7884</v>
      </c>
      <c r="D7932" s="4" t="str">
        <f t="shared" si="713"/>
        <v>12Go Link</v>
      </c>
      <c r="E7932" s="3" t="s">
        <v>3197</v>
      </c>
      <c r="K7932" s="5"/>
    </row>
    <row r="7933">
      <c r="A7933" s="3" t="s">
        <v>7790</v>
      </c>
      <c r="B7933" s="3" t="s">
        <v>7689</v>
      </c>
      <c r="C7933" s="3" t="s">
        <v>7885</v>
      </c>
      <c r="D7933" s="4" t="str">
        <f t="shared" ref="D7933:D7935" si="714">HYPERLINK("https://12go.asia/en/travel/Induruwa/Negombo", "12Go Link")</f>
        <v>12Go Link</v>
      </c>
      <c r="E7933" s="3" t="s">
        <v>222</v>
      </c>
      <c r="K7933" s="5"/>
    </row>
    <row r="7934">
      <c r="A7934" s="3" t="s">
        <v>7790</v>
      </c>
      <c r="B7934" s="3" t="s">
        <v>7689</v>
      </c>
      <c r="C7934" s="3" t="s">
        <v>7885</v>
      </c>
      <c r="D7934" s="4" t="str">
        <f t="shared" si="714"/>
        <v>12Go Link</v>
      </c>
      <c r="E7934" s="3" t="s">
        <v>3203</v>
      </c>
      <c r="K7934" s="5"/>
    </row>
    <row r="7935">
      <c r="A7935" s="3" t="s">
        <v>7790</v>
      </c>
      <c r="B7935" s="3" t="s">
        <v>7689</v>
      </c>
      <c r="C7935" s="3" t="s">
        <v>7885</v>
      </c>
      <c r="D7935" s="4" t="str">
        <f t="shared" si="714"/>
        <v>12Go Link</v>
      </c>
      <c r="E7935" s="3" t="s">
        <v>3197</v>
      </c>
      <c r="K7935" s="5"/>
    </row>
    <row r="7936">
      <c r="A7936" s="3" t="s">
        <v>7793</v>
      </c>
      <c r="B7936" s="3" t="s">
        <v>7706</v>
      </c>
      <c r="C7936" s="3" t="s">
        <v>7886</v>
      </c>
      <c r="D7936" s="4" t="str">
        <f t="shared" ref="D7936:D7938" si="715">HYPERLINK("https://12go.asia/en/travel/Kalutara/Colombo", "12Go Link")</f>
        <v>12Go Link</v>
      </c>
      <c r="E7936" s="3" t="s">
        <v>222</v>
      </c>
      <c r="K7936" s="5"/>
    </row>
    <row r="7937">
      <c r="A7937" s="3" t="s">
        <v>7793</v>
      </c>
      <c r="B7937" s="3" t="s">
        <v>7706</v>
      </c>
      <c r="C7937" s="3" t="s">
        <v>7886</v>
      </c>
      <c r="D7937" s="4" t="str">
        <f t="shared" si="715"/>
        <v>12Go Link</v>
      </c>
      <c r="E7937" s="3" t="s">
        <v>3203</v>
      </c>
      <c r="K7937" s="5"/>
    </row>
    <row r="7938">
      <c r="A7938" s="3" t="s">
        <v>7793</v>
      </c>
      <c r="B7938" s="3" t="s">
        <v>7706</v>
      </c>
      <c r="C7938" s="3" t="s">
        <v>7886</v>
      </c>
      <c r="D7938" s="4" t="str">
        <f t="shared" si="715"/>
        <v>12Go Link</v>
      </c>
      <c r="E7938" s="3" t="s">
        <v>3197</v>
      </c>
      <c r="K7938" s="5"/>
    </row>
    <row r="7939">
      <c r="A7939" s="3" t="s">
        <v>7793</v>
      </c>
      <c r="B7939" s="3" t="s">
        <v>7708</v>
      </c>
      <c r="C7939" s="3" t="s">
        <v>7887</v>
      </c>
      <c r="D7939" s="4" t="str">
        <f t="shared" ref="D7939:D7941" si="716">HYPERLINK("https://12go.asia/en/travel/Kalutara/Katunayake", "12Go Link")</f>
        <v>12Go Link</v>
      </c>
      <c r="E7939" s="3" t="s">
        <v>222</v>
      </c>
      <c r="K7939" s="5"/>
    </row>
    <row r="7940">
      <c r="A7940" s="3" t="s">
        <v>7793</v>
      </c>
      <c r="B7940" s="3" t="s">
        <v>7708</v>
      </c>
      <c r="C7940" s="3" t="s">
        <v>7887</v>
      </c>
      <c r="D7940" s="4" t="str">
        <f t="shared" si="716"/>
        <v>12Go Link</v>
      </c>
      <c r="E7940" s="3" t="s">
        <v>3203</v>
      </c>
      <c r="K7940" s="5"/>
    </row>
    <row r="7941">
      <c r="A7941" s="3" t="s">
        <v>7793</v>
      </c>
      <c r="B7941" s="3" t="s">
        <v>7708</v>
      </c>
      <c r="C7941" s="3" t="s">
        <v>7887</v>
      </c>
      <c r="D7941" s="4" t="str">
        <f t="shared" si="716"/>
        <v>12Go Link</v>
      </c>
      <c r="E7941" s="3" t="s">
        <v>3197</v>
      </c>
      <c r="K7941" s="5"/>
    </row>
    <row r="7942">
      <c r="A7942" s="3" t="s">
        <v>7793</v>
      </c>
      <c r="B7942" s="3" t="s">
        <v>7685</v>
      </c>
      <c r="C7942" s="3" t="s">
        <v>7888</v>
      </c>
      <c r="D7942" s="4" t="str">
        <f t="shared" ref="D7942:D7944" si="717">HYPERLINK("https://12go.asia/en/travel/Kalutara/Ella", "12Go Link")</f>
        <v>12Go Link</v>
      </c>
      <c r="E7942" s="3" t="s">
        <v>222</v>
      </c>
      <c r="K7942" s="5"/>
    </row>
    <row r="7943">
      <c r="A7943" s="3" t="s">
        <v>7793</v>
      </c>
      <c r="B7943" s="3" t="s">
        <v>7685</v>
      </c>
      <c r="C7943" s="3" t="s">
        <v>7888</v>
      </c>
      <c r="D7943" s="4" t="str">
        <f t="shared" si="717"/>
        <v>12Go Link</v>
      </c>
      <c r="E7943" s="3" t="s">
        <v>3203</v>
      </c>
      <c r="K7943" s="5"/>
    </row>
    <row r="7944">
      <c r="A7944" s="3" t="s">
        <v>7793</v>
      </c>
      <c r="B7944" s="3" t="s">
        <v>7685</v>
      </c>
      <c r="C7944" s="3" t="s">
        <v>7888</v>
      </c>
      <c r="D7944" s="4" t="str">
        <f t="shared" si="717"/>
        <v>12Go Link</v>
      </c>
      <c r="E7944" s="3" t="s">
        <v>3197</v>
      </c>
      <c r="K7944" s="5"/>
    </row>
    <row r="7945">
      <c r="A7945" s="3" t="s">
        <v>7793</v>
      </c>
      <c r="B7945" s="3" t="s">
        <v>7689</v>
      </c>
      <c r="C7945" s="3" t="s">
        <v>7889</v>
      </c>
      <c r="D7945" s="4" t="str">
        <f>HYPERLINK("https://12go.asia/en/travel/Kalutara/Negombo", "12Go Link")</f>
        <v>12Go Link</v>
      </c>
      <c r="E7945" s="3" t="s">
        <v>3203</v>
      </c>
      <c r="K7945" s="5"/>
    </row>
    <row r="7946">
      <c r="A7946" s="3" t="s">
        <v>7793</v>
      </c>
      <c r="B7946" s="3" t="s">
        <v>7695</v>
      </c>
      <c r="C7946" s="3" t="s">
        <v>7890</v>
      </c>
      <c r="D7946" s="4" t="str">
        <f t="shared" ref="D7946:D7948" si="718">HYPERLINK("https://12go.asia/en/travel/Kalutara/Yala-Park", "12Go Link")</f>
        <v>12Go Link</v>
      </c>
      <c r="E7946" s="3" t="s">
        <v>222</v>
      </c>
      <c r="K7946" s="5"/>
    </row>
    <row r="7947">
      <c r="A7947" s="3" t="s">
        <v>7793</v>
      </c>
      <c r="B7947" s="3" t="s">
        <v>7695</v>
      </c>
      <c r="C7947" s="3" t="s">
        <v>7890</v>
      </c>
      <c r="D7947" s="4" t="str">
        <f t="shared" si="718"/>
        <v>12Go Link</v>
      </c>
      <c r="E7947" s="3" t="s">
        <v>3203</v>
      </c>
      <c r="K7947" s="5"/>
    </row>
    <row r="7948">
      <c r="A7948" s="3" t="s">
        <v>7793</v>
      </c>
      <c r="B7948" s="3" t="s">
        <v>7695</v>
      </c>
      <c r="C7948" s="3" t="s">
        <v>7890</v>
      </c>
      <c r="D7948" s="4" t="str">
        <f t="shared" si="718"/>
        <v>12Go Link</v>
      </c>
      <c r="E7948" s="3" t="s">
        <v>3197</v>
      </c>
      <c r="K7948" s="5"/>
    </row>
    <row r="7949">
      <c r="A7949" s="3" t="s">
        <v>7891</v>
      </c>
      <c r="B7949" s="3" t="s">
        <v>7795</v>
      </c>
      <c r="C7949" s="3" t="s">
        <v>7892</v>
      </c>
      <c r="D7949" s="4" t="str">
        <f t="shared" ref="D7949:D7950" si="719">HYPERLINK("https://12go.asia/en/travel/Kandawala/Kataragama", "12Go Link")</f>
        <v>12Go Link</v>
      </c>
      <c r="E7949" s="3" t="s">
        <v>222</v>
      </c>
      <c r="K7949" s="5"/>
    </row>
    <row r="7950">
      <c r="A7950" s="3" t="s">
        <v>7891</v>
      </c>
      <c r="B7950" s="3" t="s">
        <v>7795</v>
      </c>
      <c r="C7950" s="3" t="s">
        <v>7892</v>
      </c>
      <c r="D7950" s="4" t="str">
        <f t="shared" si="719"/>
        <v>12Go Link</v>
      </c>
      <c r="E7950" s="3" t="s">
        <v>3203</v>
      </c>
      <c r="K7950" s="5"/>
    </row>
    <row r="7951">
      <c r="A7951" s="3" t="s">
        <v>7687</v>
      </c>
      <c r="B7951" s="3" t="s">
        <v>7705</v>
      </c>
      <c r="C7951" s="3" t="s">
        <v>7893</v>
      </c>
      <c r="D7951" s="4" t="str">
        <f t="shared" ref="D7951:D7952" si="720">HYPERLINK("https://12go.asia/en/travel/Kandy/Aluthgama", "12Go Link")</f>
        <v>12Go Link</v>
      </c>
      <c r="E7951" s="3" t="s">
        <v>3203</v>
      </c>
      <c r="K7951" s="5"/>
    </row>
    <row r="7952">
      <c r="A7952" s="3" t="s">
        <v>7687</v>
      </c>
      <c r="B7952" s="3" t="s">
        <v>7705</v>
      </c>
      <c r="C7952" s="3" t="s">
        <v>7893</v>
      </c>
      <c r="D7952" s="4" t="str">
        <f t="shared" si="720"/>
        <v>12Go Link</v>
      </c>
      <c r="E7952" s="3" t="s">
        <v>3197</v>
      </c>
      <c r="K7952" s="5"/>
    </row>
    <row r="7953">
      <c r="A7953" s="3" t="s">
        <v>7687</v>
      </c>
      <c r="B7953" s="3" t="s">
        <v>7683</v>
      </c>
      <c r="C7953" s="3" t="s">
        <v>7894</v>
      </c>
      <c r="D7953" s="4" t="str">
        <f t="shared" ref="D7953:D7955" si="721">HYPERLINK("https://12go.asia/en/travel/Kandy/Dambulla", "12Go Link")</f>
        <v>12Go Link</v>
      </c>
      <c r="E7953" s="3" t="s">
        <v>222</v>
      </c>
      <c r="K7953" s="5"/>
    </row>
    <row r="7954">
      <c r="A7954" s="3" t="s">
        <v>7687</v>
      </c>
      <c r="B7954" s="3" t="s">
        <v>7683</v>
      </c>
      <c r="C7954" s="3" t="s">
        <v>7894</v>
      </c>
      <c r="D7954" s="4" t="str">
        <f t="shared" si="721"/>
        <v>12Go Link</v>
      </c>
      <c r="E7954" s="3" t="s">
        <v>3203</v>
      </c>
      <c r="K7954" s="5"/>
    </row>
    <row r="7955">
      <c r="A7955" s="3" t="s">
        <v>7687</v>
      </c>
      <c r="B7955" s="3" t="s">
        <v>7683</v>
      </c>
      <c r="C7955" s="3" t="s">
        <v>7894</v>
      </c>
      <c r="D7955" s="4" t="str">
        <f t="shared" si="721"/>
        <v>12Go Link</v>
      </c>
      <c r="E7955" s="3" t="s">
        <v>3197</v>
      </c>
      <c r="K7955" s="5"/>
    </row>
    <row r="7956">
      <c r="A7956" s="3" t="s">
        <v>7687</v>
      </c>
      <c r="B7956" s="3" t="s">
        <v>7743</v>
      </c>
      <c r="C7956" s="3" t="s">
        <v>7895</v>
      </c>
      <c r="D7956" s="4" t="str">
        <f t="shared" ref="D7956:D7958" si="722">HYPERLINK("https://12go.asia/en/travel/Kandy/Habarana", "12Go Link")</f>
        <v>12Go Link</v>
      </c>
      <c r="E7956" s="3" t="s">
        <v>222</v>
      </c>
      <c r="K7956" s="5"/>
    </row>
    <row r="7957">
      <c r="A7957" s="3" t="s">
        <v>7687</v>
      </c>
      <c r="B7957" s="3" t="s">
        <v>7743</v>
      </c>
      <c r="C7957" s="3" t="s">
        <v>7895</v>
      </c>
      <c r="D7957" s="4" t="str">
        <f t="shared" si="722"/>
        <v>12Go Link</v>
      </c>
      <c r="E7957" s="3" t="s">
        <v>3203</v>
      </c>
      <c r="K7957" s="5"/>
    </row>
    <row r="7958">
      <c r="A7958" s="3" t="s">
        <v>7687</v>
      </c>
      <c r="B7958" s="3" t="s">
        <v>7743</v>
      </c>
      <c r="C7958" s="3" t="s">
        <v>7895</v>
      </c>
      <c r="D7958" s="4" t="str">
        <f t="shared" si="722"/>
        <v>12Go Link</v>
      </c>
      <c r="E7958" s="3" t="s">
        <v>3197</v>
      </c>
      <c r="K7958" s="5"/>
    </row>
    <row r="7959">
      <c r="A7959" s="3" t="s">
        <v>7687</v>
      </c>
      <c r="B7959" s="3" t="s">
        <v>7695</v>
      </c>
      <c r="C7959" s="3" t="s">
        <v>7896</v>
      </c>
      <c r="D7959" s="4" t="str">
        <f t="shared" ref="D7959:D7960" si="723">HYPERLINK("https://12go.asia/en/travel/Kandy/Yala-Park", "12Go Link")</f>
        <v>12Go Link</v>
      </c>
      <c r="E7959" s="3" t="s">
        <v>3203</v>
      </c>
      <c r="K7959" s="5"/>
    </row>
    <row r="7960">
      <c r="A7960" s="3" t="s">
        <v>7687</v>
      </c>
      <c r="B7960" s="3" t="s">
        <v>7695</v>
      </c>
      <c r="C7960" s="3" t="s">
        <v>7896</v>
      </c>
      <c r="D7960" s="4" t="str">
        <f t="shared" si="723"/>
        <v>12Go Link</v>
      </c>
      <c r="E7960" s="3" t="s">
        <v>3197</v>
      </c>
      <c r="K7960" s="5"/>
    </row>
    <row r="7961">
      <c r="A7961" s="3" t="s">
        <v>7687</v>
      </c>
      <c r="B7961" s="3" t="s">
        <v>7747</v>
      </c>
      <c r="C7961" s="3" t="s">
        <v>7897</v>
      </c>
      <c r="D7961" s="4" t="str">
        <f>HYPERLINK("https://12go.asia/en/travel/Kandy/Trincomalee", "12Go Link")</f>
        <v>12Go Link</v>
      </c>
      <c r="E7961" s="3" t="s">
        <v>3197</v>
      </c>
      <c r="K7961" s="5"/>
    </row>
    <row r="7962">
      <c r="A7962" s="3" t="s">
        <v>7795</v>
      </c>
      <c r="B7962" s="3" t="s">
        <v>7685</v>
      </c>
      <c r="C7962" s="3" t="s">
        <v>7898</v>
      </c>
      <c r="D7962" s="4" t="str">
        <f t="shared" ref="D7962:D7964" si="724">HYPERLINK("https://12go.asia/en/travel/Kataragama/Ella", "12Go Link")</f>
        <v>12Go Link</v>
      </c>
      <c r="E7962" s="3" t="s">
        <v>222</v>
      </c>
      <c r="K7962" s="5"/>
    </row>
    <row r="7963">
      <c r="A7963" s="3" t="s">
        <v>7795</v>
      </c>
      <c r="B7963" s="3" t="s">
        <v>7685</v>
      </c>
      <c r="C7963" s="3" t="s">
        <v>7898</v>
      </c>
      <c r="D7963" s="4" t="str">
        <f t="shared" si="724"/>
        <v>12Go Link</v>
      </c>
      <c r="E7963" s="3" t="s">
        <v>3203</v>
      </c>
      <c r="K7963" s="5"/>
    </row>
    <row r="7964">
      <c r="A7964" s="3" t="s">
        <v>7795</v>
      </c>
      <c r="B7964" s="3" t="s">
        <v>7685</v>
      </c>
      <c r="C7964" s="3" t="s">
        <v>7898</v>
      </c>
      <c r="D7964" s="4" t="str">
        <f t="shared" si="724"/>
        <v>12Go Link</v>
      </c>
      <c r="E7964" s="3" t="s">
        <v>3197</v>
      </c>
      <c r="K7964" s="5"/>
    </row>
    <row r="7965">
      <c r="A7965" s="3" t="s">
        <v>7795</v>
      </c>
      <c r="B7965" s="3" t="s">
        <v>7689</v>
      </c>
      <c r="C7965" s="3" t="s">
        <v>7899</v>
      </c>
      <c r="D7965" s="4" t="str">
        <f t="shared" ref="D7965:D7967" si="725">HYPERLINK("https://12go.asia/en/travel/Kataragama/Negombo", "12Go Link")</f>
        <v>12Go Link</v>
      </c>
      <c r="E7965" s="3" t="s">
        <v>222</v>
      </c>
      <c r="K7965" s="5"/>
    </row>
    <row r="7966">
      <c r="A7966" s="3" t="s">
        <v>7795</v>
      </c>
      <c r="B7966" s="3" t="s">
        <v>7689</v>
      </c>
      <c r="C7966" s="3" t="s">
        <v>7899</v>
      </c>
      <c r="D7966" s="4" t="str">
        <f t="shared" si="725"/>
        <v>12Go Link</v>
      </c>
      <c r="E7966" s="3" t="s">
        <v>3203</v>
      </c>
      <c r="K7966" s="5"/>
    </row>
    <row r="7967">
      <c r="A7967" s="3" t="s">
        <v>7795</v>
      </c>
      <c r="B7967" s="3" t="s">
        <v>7689</v>
      </c>
      <c r="C7967" s="3" t="s">
        <v>7899</v>
      </c>
      <c r="D7967" s="4" t="str">
        <f t="shared" si="725"/>
        <v>12Go Link</v>
      </c>
      <c r="E7967" s="3" t="s">
        <v>3197</v>
      </c>
      <c r="K7967" s="5"/>
    </row>
    <row r="7968">
      <c r="A7968" s="3" t="s">
        <v>7797</v>
      </c>
      <c r="B7968" s="3" t="s">
        <v>7706</v>
      </c>
      <c r="C7968" s="3" t="s">
        <v>7900</v>
      </c>
      <c r="D7968" s="4" t="str">
        <f t="shared" ref="D7968:D7969" si="726">HYPERLINK("https://12go.asia/en/travel/Kosgoda/Colombo", "12Go Link")</f>
        <v>12Go Link</v>
      </c>
      <c r="E7968" s="3" t="s">
        <v>3203</v>
      </c>
      <c r="K7968" s="5"/>
    </row>
    <row r="7969">
      <c r="A7969" s="3" t="s">
        <v>7797</v>
      </c>
      <c r="B7969" s="3" t="s">
        <v>7706</v>
      </c>
      <c r="C7969" s="3" t="s">
        <v>7900</v>
      </c>
      <c r="D7969" s="4" t="str">
        <f t="shared" si="726"/>
        <v>12Go Link</v>
      </c>
      <c r="E7969" s="3" t="s">
        <v>3197</v>
      </c>
      <c r="K7969" s="5"/>
    </row>
    <row r="7970">
      <c r="A7970" s="3" t="s">
        <v>7797</v>
      </c>
      <c r="B7970" s="3" t="s">
        <v>7685</v>
      </c>
      <c r="C7970" s="3" t="s">
        <v>7901</v>
      </c>
      <c r="D7970" s="4" t="str">
        <f t="shared" ref="D7970:D7971" si="727">HYPERLINK("https://12go.asia/en/travel/Kosgoda/Ella", "12Go Link")</f>
        <v>12Go Link</v>
      </c>
      <c r="E7970" s="3" t="s">
        <v>3203</v>
      </c>
      <c r="K7970" s="5"/>
    </row>
    <row r="7971">
      <c r="A7971" s="3" t="s">
        <v>7797</v>
      </c>
      <c r="B7971" s="3" t="s">
        <v>7685</v>
      </c>
      <c r="C7971" s="3" t="s">
        <v>7901</v>
      </c>
      <c r="D7971" s="4" t="str">
        <f t="shared" si="727"/>
        <v>12Go Link</v>
      </c>
      <c r="E7971" s="3" t="s">
        <v>3197</v>
      </c>
      <c r="K7971" s="5"/>
    </row>
    <row r="7972">
      <c r="A7972" s="3" t="s">
        <v>7797</v>
      </c>
      <c r="B7972" s="3" t="s">
        <v>7689</v>
      </c>
      <c r="C7972" s="3" t="s">
        <v>7902</v>
      </c>
      <c r="D7972" s="4" t="str">
        <f t="shared" ref="D7972:D7973" si="728">HYPERLINK("https://12go.asia/en/travel/Kosgoda/Negombo", "12Go Link")</f>
        <v>12Go Link</v>
      </c>
      <c r="E7972" s="3" t="s">
        <v>3203</v>
      </c>
      <c r="K7972" s="5"/>
    </row>
    <row r="7973">
      <c r="A7973" s="3" t="s">
        <v>7797</v>
      </c>
      <c r="B7973" s="3" t="s">
        <v>7689</v>
      </c>
      <c r="C7973" s="3" t="s">
        <v>7902</v>
      </c>
      <c r="D7973" s="4" t="str">
        <f t="shared" si="728"/>
        <v>12Go Link</v>
      </c>
      <c r="E7973" s="3" t="s">
        <v>3197</v>
      </c>
      <c r="K7973" s="5"/>
    </row>
    <row r="7974">
      <c r="A7974" s="3" t="s">
        <v>7797</v>
      </c>
      <c r="B7974" s="3" t="s">
        <v>7695</v>
      </c>
      <c r="C7974" s="3" t="s">
        <v>7903</v>
      </c>
      <c r="D7974" s="4" t="str">
        <f t="shared" ref="D7974:D7975" si="729">HYPERLINK("https://12go.asia/en/travel/Kosgoda/Tissamaharama", "12Go Link")</f>
        <v>12Go Link</v>
      </c>
      <c r="E7974" s="3" t="s">
        <v>3203</v>
      </c>
      <c r="K7974" s="5"/>
    </row>
    <row r="7975">
      <c r="A7975" s="3" t="s">
        <v>7797</v>
      </c>
      <c r="B7975" s="3" t="s">
        <v>7695</v>
      </c>
      <c r="C7975" s="3" t="s">
        <v>7903</v>
      </c>
      <c r="D7975" s="4" t="str">
        <f t="shared" si="729"/>
        <v>12Go Link</v>
      </c>
      <c r="E7975" s="3" t="s">
        <v>3197</v>
      </c>
      <c r="K7975" s="5"/>
    </row>
    <row r="7976">
      <c r="A7976" s="3" t="s">
        <v>7797</v>
      </c>
      <c r="B7976" s="3" t="s">
        <v>7695</v>
      </c>
      <c r="C7976" s="3" t="s">
        <v>7904</v>
      </c>
      <c r="D7976" s="4" t="str">
        <f t="shared" ref="D7976:D7977" si="730">HYPERLINK("https://12go.asia/en/travel/Kosgoda/Yala-Park", "12Go Link")</f>
        <v>12Go Link</v>
      </c>
      <c r="E7976" s="3" t="s">
        <v>3203</v>
      </c>
      <c r="K7976" s="5"/>
    </row>
    <row r="7977">
      <c r="A7977" s="3" t="s">
        <v>7797</v>
      </c>
      <c r="B7977" s="3" t="s">
        <v>7695</v>
      </c>
      <c r="C7977" s="3" t="s">
        <v>7904</v>
      </c>
      <c r="D7977" s="4" t="str">
        <f t="shared" si="730"/>
        <v>12Go Link</v>
      </c>
      <c r="E7977" s="3" t="s">
        <v>3197</v>
      </c>
      <c r="K7977" s="5"/>
    </row>
    <row r="7978">
      <c r="A7978" s="3" t="s">
        <v>7799</v>
      </c>
      <c r="B7978" s="3" t="s">
        <v>7706</v>
      </c>
      <c r="C7978" s="3" t="s">
        <v>7905</v>
      </c>
      <c r="D7978" s="4" t="str">
        <f t="shared" ref="D7978:D7979" si="731">HYPERLINK("https://12go.asia/en/travel/Weligama/Colombo", "12Go Link")</f>
        <v>12Go Link</v>
      </c>
      <c r="E7978" s="3" t="s">
        <v>3203</v>
      </c>
      <c r="K7978" s="5"/>
    </row>
    <row r="7979">
      <c r="A7979" s="3" t="s">
        <v>7799</v>
      </c>
      <c r="B7979" s="3" t="s">
        <v>7706</v>
      </c>
      <c r="C7979" s="3" t="s">
        <v>7905</v>
      </c>
      <c r="D7979" s="4" t="str">
        <f t="shared" si="731"/>
        <v>12Go Link</v>
      </c>
      <c r="E7979" s="3" t="s">
        <v>3197</v>
      </c>
      <c r="K7979" s="5"/>
    </row>
    <row r="7980">
      <c r="A7980" s="3" t="s">
        <v>7799</v>
      </c>
      <c r="B7980" s="3" t="s">
        <v>7683</v>
      </c>
      <c r="C7980" s="3" t="s">
        <v>7906</v>
      </c>
      <c r="D7980" s="4" t="str">
        <f t="shared" ref="D7980:D7981" si="732">HYPERLINK("https://12go.asia/en/travel/Weligama/Dambulla", "12Go Link")</f>
        <v>12Go Link</v>
      </c>
      <c r="E7980" s="3" t="s">
        <v>3203</v>
      </c>
      <c r="K7980" s="5"/>
    </row>
    <row r="7981">
      <c r="A7981" s="3" t="s">
        <v>7799</v>
      </c>
      <c r="B7981" s="3" t="s">
        <v>7683</v>
      </c>
      <c r="C7981" s="3" t="s">
        <v>7906</v>
      </c>
      <c r="D7981" s="4" t="str">
        <f t="shared" si="732"/>
        <v>12Go Link</v>
      </c>
      <c r="E7981" s="3" t="s">
        <v>3197</v>
      </c>
      <c r="K7981" s="5"/>
    </row>
    <row r="7982">
      <c r="A7982" s="3" t="s">
        <v>7799</v>
      </c>
      <c r="B7982" s="3" t="s">
        <v>7687</v>
      </c>
      <c r="C7982" s="3" t="s">
        <v>7907</v>
      </c>
      <c r="D7982" s="4" t="str">
        <f t="shared" ref="D7982:D7983" si="733">HYPERLINK("https://12go.asia/en/travel/Weligama/Kandy", "12Go Link")</f>
        <v>12Go Link</v>
      </c>
      <c r="E7982" s="3" t="s">
        <v>3203</v>
      </c>
      <c r="K7982" s="5"/>
    </row>
    <row r="7983">
      <c r="A7983" s="3" t="s">
        <v>7799</v>
      </c>
      <c r="B7983" s="3" t="s">
        <v>7687</v>
      </c>
      <c r="C7983" s="3" t="s">
        <v>7907</v>
      </c>
      <c r="D7983" s="4" t="str">
        <f t="shared" si="733"/>
        <v>12Go Link</v>
      </c>
      <c r="E7983" s="3" t="s">
        <v>3197</v>
      </c>
      <c r="K7983" s="5"/>
    </row>
    <row r="7984">
      <c r="A7984" s="3" t="s">
        <v>7799</v>
      </c>
      <c r="B7984" s="3" t="s">
        <v>7689</v>
      </c>
      <c r="C7984" s="3" t="s">
        <v>7908</v>
      </c>
      <c r="D7984" s="4" t="str">
        <f t="shared" ref="D7984:D7986" si="734">HYPERLINK("https://12go.asia/en/travel/Matara/Negombo", "12Go Link")</f>
        <v>12Go Link</v>
      </c>
      <c r="E7984" s="3" t="s">
        <v>222</v>
      </c>
      <c r="K7984" s="5"/>
    </row>
    <row r="7985">
      <c r="A7985" s="3" t="s">
        <v>7799</v>
      </c>
      <c r="B7985" s="3" t="s">
        <v>7689</v>
      </c>
      <c r="C7985" s="3" t="s">
        <v>7908</v>
      </c>
      <c r="D7985" s="4" t="str">
        <f t="shared" si="734"/>
        <v>12Go Link</v>
      </c>
      <c r="E7985" s="3" t="s">
        <v>3203</v>
      </c>
      <c r="K7985" s="5"/>
    </row>
    <row r="7986">
      <c r="A7986" s="3" t="s">
        <v>7799</v>
      </c>
      <c r="B7986" s="3" t="s">
        <v>7689</v>
      </c>
      <c r="C7986" s="3" t="s">
        <v>7908</v>
      </c>
      <c r="D7986" s="4" t="str">
        <f t="shared" si="734"/>
        <v>12Go Link</v>
      </c>
      <c r="E7986" s="3" t="s">
        <v>3197</v>
      </c>
      <c r="K7986" s="5"/>
    </row>
    <row r="7987">
      <c r="A7987" s="3" t="s">
        <v>7799</v>
      </c>
      <c r="B7987" s="3" t="s">
        <v>7689</v>
      </c>
      <c r="C7987" s="3" t="s">
        <v>7909</v>
      </c>
      <c r="D7987" s="4" t="str">
        <f t="shared" ref="D7987:D7988" si="735">HYPERLINK("https://12go.asia/en/travel/Weligama/Negombo", "12Go Link")</f>
        <v>12Go Link</v>
      </c>
      <c r="E7987" s="3" t="s">
        <v>3203</v>
      </c>
      <c r="K7987" s="5"/>
    </row>
    <row r="7988">
      <c r="A7988" s="3" t="s">
        <v>7799</v>
      </c>
      <c r="B7988" s="3" t="s">
        <v>7689</v>
      </c>
      <c r="C7988" s="3" t="s">
        <v>7909</v>
      </c>
      <c r="D7988" s="4" t="str">
        <f t="shared" si="735"/>
        <v>12Go Link</v>
      </c>
      <c r="E7988" s="3" t="s">
        <v>3197</v>
      </c>
      <c r="K7988" s="5"/>
    </row>
    <row r="7989">
      <c r="A7989" s="3" t="s">
        <v>7799</v>
      </c>
      <c r="B7989" s="3" t="s">
        <v>7691</v>
      </c>
      <c r="C7989" s="3" t="s">
        <v>7910</v>
      </c>
      <c r="D7989" s="4" t="str">
        <f t="shared" ref="D7989:D7990" si="736">HYPERLINK("https://12go.asia/en/travel/Weligama/Nuwara-Eliya", "12Go Link")</f>
        <v>12Go Link</v>
      </c>
      <c r="E7989" s="3" t="s">
        <v>3203</v>
      </c>
      <c r="K7989" s="5"/>
    </row>
    <row r="7990">
      <c r="A7990" s="3" t="s">
        <v>7799</v>
      </c>
      <c r="B7990" s="3" t="s">
        <v>7691</v>
      </c>
      <c r="C7990" s="3" t="s">
        <v>7910</v>
      </c>
      <c r="D7990" s="4" t="str">
        <f t="shared" si="736"/>
        <v>12Go Link</v>
      </c>
      <c r="E7990" s="3" t="s">
        <v>3197</v>
      </c>
      <c r="K7990" s="5"/>
    </row>
    <row r="7991">
      <c r="A7991" s="3" t="s">
        <v>7799</v>
      </c>
      <c r="B7991" s="3" t="s">
        <v>7693</v>
      </c>
      <c r="C7991" s="3" t="s">
        <v>7911</v>
      </c>
      <c r="D7991" s="4" t="str">
        <f t="shared" ref="D7991:D7992" si="737">HYPERLINK("https://12go.asia/en/travel/Weligama/Sigiriya", "12Go Link")</f>
        <v>12Go Link</v>
      </c>
      <c r="E7991" s="3" t="s">
        <v>3203</v>
      </c>
      <c r="K7991" s="5"/>
    </row>
    <row r="7992">
      <c r="A7992" s="3" t="s">
        <v>7799</v>
      </c>
      <c r="B7992" s="3" t="s">
        <v>7693</v>
      </c>
      <c r="C7992" s="3" t="s">
        <v>7911</v>
      </c>
      <c r="D7992" s="4" t="str">
        <f t="shared" si="737"/>
        <v>12Go Link</v>
      </c>
      <c r="E7992" s="3" t="s">
        <v>3197</v>
      </c>
      <c r="K7992" s="5"/>
    </row>
    <row r="7993">
      <c r="A7993" s="3" t="s">
        <v>7799</v>
      </c>
      <c r="B7993" s="3" t="s">
        <v>7695</v>
      </c>
      <c r="C7993" s="3" t="s">
        <v>7912</v>
      </c>
      <c r="D7993" s="4" t="str">
        <f t="shared" ref="D7993:D7994" si="738">HYPERLINK("https://12go.asia/en/travel/Weligama/Tissamaharama", "12Go Link")</f>
        <v>12Go Link</v>
      </c>
      <c r="E7993" s="3" t="s">
        <v>3203</v>
      </c>
      <c r="K7993" s="5"/>
    </row>
    <row r="7994">
      <c r="A7994" s="3" t="s">
        <v>7799</v>
      </c>
      <c r="B7994" s="3" t="s">
        <v>7695</v>
      </c>
      <c r="C7994" s="3" t="s">
        <v>7912</v>
      </c>
      <c r="D7994" s="4" t="str">
        <f t="shared" si="738"/>
        <v>12Go Link</v>
      </c>
      <c r="E7994" s="3" t="s">
        <v>3197</v>
      </c>
      <c r="K7994" s="5"/>
    </row>
    <row r="7995">
      <c r="A7995" s="3" t="s">
        <v>7799</v>
      </c>
      <c r="B7995" s="3" t="s">
        <v>7695</v>
      </c>
      <c r="C7995" s="3" t="s">
        <v>7913</v>
      </c>
      <c r="D7995" s="4" t="str">
        <f t="shared" ref="D7995:D7996" si="739">HYPERLINK("https://12go.asia/en/travel/Weligama/Yala-Park", "12Go Link")</f>
        <v>12Go Link</v>
      </c>
      <c r="E7995" s="3" t="s">
        <v>3203</v>
      </c>
      <c r="K7995" s="5"/>
    </row>
    <row r="7996">
      <c r="A7996" s="3" t="s">
        <v>7799</v>
      </c>
      <c r="B7996" s="3" t="s">
        <v>7695</v>
      </c>
      <c r="C7996" s="3" t="s">
        <v>7913</v>
      </c>
      <c r="D7996" s="4" t="str">
        <f t="shared" si="739"/>
        <v>12Go Link</v>
      </c>
      <c r="E7996" s="3" t="s">
        <v>3197</v>
      </c>
      <c r="K7996" s="5"/>
    </row>
    <row r="7997">
      <c r="A7997" s="3" t="s">
        <v>7850</v>
      </c>
      <c r="B7997" s="3" t="s">
        <v>7708</v>
      </c>
      <c r="C7997" s="3" t="s">
        <v>7914</v>
      </c>
      <c r="D7997" s="4" t="str">
        <f>HYPERLINK("https://12go.asia/en/travel/Mirissa/Bandaranaike-Airport", "12Go Link")</f>
        <v>12Go Link</v>
      </c>
      <c r="E7997" s="3" t="s">
        <v>3203</v>
      </c>
      <c r="K7997" s="5"/>
    </row>
    <row r="7998">
      <c r="A7998" s="3" t="s">
        <v>7850</v>
      </c>
      <c r="B7998" s="3" t="s">
        <v>7708</v>
      </c>
      <c r="C7998" s="3" t="s">
        <v>7915</v>
      </c>
      <c r="D7998" s="4" t="str">
        <f t="shared" ref="D7998:D8000" si="740">HYPERLINK("https://12go.asia/en/travel/Mirissa/Katunayake", "12Go Link")</f>
        <v>12Go Link</v>
      </c>
      <c r="E7998" s="3" t="s">
        <v>222</v>
      </c>
      <c r="K7998" s="5"/>
    </row>
    <row r="7999">
      <c r="A7999" s="3" t="s">
        <v>7850</v>
      </c>
      <c r="B7999" s="3" t="s">
        <v>7708</v>
      </c>
      <c r="C7999" s="3" t="s">
        <v>7915</v>
      </c>
      <c r="D7999" s="4" t="str">
        <f t="shared" si="740"/>
        <v>12Go Link</v>
      </c>
      <c r="E7999" s="3" t="s">
        <v>3203</v>
      </c>
      <c r="K7999" s="5"/>
    </row>
    <row r="8000">
      <c r="A8000" s="3" t="s">
        <v>7850</v>
      </c>
      <c r="B8000" s="3" t="s">
        <v>7708</v>
      </c>
      <c r="C8000" s="3" t="s">
        <v>7915</v>
      </c>
      <c r="D8000" s="4" t="str">
        <f t="shared" si="740"/>
        <v>12Go Link</v>
      </c>
      <c r="E8000" s="3" t="s">
        <v>3197</v>
      </c>
      <c r="K8000" s="5"/>
    </row>
    <row r="8001">
      <c r="A8001" s="3" t="s">
        <v>7850</v>
      </c>
      <c r="B8001" s="3" t="s">
        <v>7685</v>
      </c>
      <c r="C8001" s="3" t="s">
        <v>7916</v>
      </c>
      <c r="D8001" s="4" t="str">
        <f t="shared" ref="D8001:D8002" si="741">HYPERLINK("https://12go.asia/en/travel/Mirissa/Ella", "12Go Link")</f>
        <v>12Go Link</v>
      </c>
      <c r="E8001" s="3" t="s">
        <v>3203</v>
      </c>
      <c r="K8001" s="5"/>
    </row>
    <row r="8002">
      <c r="A8002" s="3" t="s">
        <v>7850</v>
      </c>
      <c r="B8002" s="3" t="s">
        <v>7685</v>
      </c>
      <c r="C8002" s="3" t="s">
        <v>7916</v>
      </c>
      <c r="D8002" s="4" t="str">
        <f t="shared" si="741"/>
        <v>12Go Link</v>
      </c>
      <c r="E8002" s="3" t="s">
        <v>3197</v>
      </c>
      <c r="K8002" s="5"/>
    </row>
    <row r="8003">
      <c r="A8003" s="3" t="s">
        <v>7850</v>
      </c>
      <c r="B8003" s="3" t="s">
        <v>7695</v>
      </c>
      <c r="C8003" s="3" t="s">
        <v>7917</v>
      </c>
      <c r="D8003" s="4" t="str">
        <f t="shared" ref="D8003:D8004" si="742">HYPERLINK("https://12go.asia/en/travel/Mirissa/Yala-Park", "12Go Link")</f>
        <v>12Go Link</v>
      </c>
      <c r="E8003" s="3" t="s">
        <v>3203</v>
      </c>
      <c r="K8003" s="5"/>
    </row>
    <row r="8004">
      <c r="A8004" s="3" t="s">
        <v>7850</v>
      </c>
      <c r="B8004" s="3" t="s">
        <v>7695</v>
      </c>
      <c r="C8004" s="3" t="s">
        <v>7917</v>
      </c>
      <c r="D8004" s="4" t="str">
        <f t="shared" si="742"/>
        <v>12Go Link</v>
      </c>
      <c r="E8004" s="3" t="s">
        <v>3197</v>
      </c>
      <c r="K8004" s="5"/>
    </row>
    <row r="8005">
      <c r="A8005" s="3" t="s">
        <v>7689</v>
      </c>
      <c r="B8005" s="3" t="s">
        <v>7682</v>
      </c>
      <c r="C8005" s="3" t="s">
        <v>7918</v>
      </c>
      <c r="D8005" s="4" t="str">
        <f t="shared" ref="D8005:D8006" si="743">HYPERLINK("https://12go.asia/en/travel/Negombo/Ahangama", "12Go Link")</f>
        <v>12Go Link</v>
      </c>
      <c r="E8005" s="3" t="s">
        <v>222</v>
      </c>
      <c r="K8005" s="5"/>
    </row>
    <row r="8006">
      <c r="A8006" s="3" t="s">
        <v>7689</v>
      </c>
      <c r="B8006" s="3" t="s">
        <v>7682</v>
      </c>
      <c r="C8006" s="3" t="s">
        <v>7918</v>
      </c>
      <c r="D8006" s="4" t="str">
        <f t="shared" si="743"/>
        <v>12Go Link</v>
      </c>
      <c r="E8006" s="3" t="s">
        <v>3197</v>
      </c>
      <c r="K8006" s="5"/>
    </row>
    <row r="8007">
      <c r="A8007" s="3" t="s">
        <v>7689</v>
      </c>
      <c r="B8007" s="3" t="s">
        <v>7705</v>
      </c>
      <c r="C8007" s="3" t="s">
        <v>7919</v>
      </c>
      <c r="D8007" s="4" t="str">
        <f t="shared" ref="D8007:D8008" si="744">HYPERLINK("https://12go.asia/en/travel/Negombo/Aluthgama", "12Go Link")</f>
        <v>12Go Link</v>
      </c>
      <c r="E8007" s="3" t="s">
        <v>3203</v>
      </c>
      <c r="K8007" s="5"/>
    </row>
    <row r="8008">
      <c r="A8008" s="3" t="s">
        <v>7689</v>
      </c>
      <c r="B8008" s="3" t="s">
        <v>7705</v>
      </c>
      <c r="C8008" s="3" t="s">
        <v>7919</v>
      </c>
      <c r="D8008" s="4" t="str">
        <f t="shared" si="744"/>
        <v>12Go Link</v>
      </c>
      <c r="E8008" s="3" t="s">
        <v>3197</v>
      </c>
      <c r="K8008" s="5"/>
    </row>
    <row r="8009">
      <c r="A8009" s="3" t="s">
        <v>7689</v>
      </c>
      <c r="B8009" s="3" t="s">
        <v>7718</v>
      </c>
      <c r="C8009" s="3" t="s">
        <v>7920</v>
      </c>
      <c r="D8009" s="4" t="str">
        <f t="shared" ref="D8009:D8010" si="745">HYPERLINK("https://12go.asia/en/travel/Negombo/Ambalangoda", "12Go Link")</f>
        <v>12Go Link</v>
      </c>
      <c r="E8009" s="3" t="s">
        <v>3203</v>
      </c>
      <c r="K8009" s="5"/>
    </row>
    <row r="8010">
      <c r="A8010" s="3" t="s">
        <v>7689</v>
      </c>
      <c r="B8010" s="3" t="s">
        <v>7718</v>
      </c>
      <c r="C8010" s="3" t="s">
        <v>7920</v>
      </c>
      <c r="D8010" s="4" t="str">
        <f t="shared" si="745"/>
        <v>12Go Link</v>
      </c>
      <c r="E8010" s="3" t="s">
        <v>3197</v>
      </c>
      <c r="K8010" s="5"/>
    </row>
    <row r="8011">
      <c r="A8011" s="3" t="s">
        <v>7689</v>
      </c>
      <c r="B8011" s="3" t="s">
        <v>7728</v>
      </c>
      <c r="C8011" s="3" t="s">
        <v>7921</v>
      </c>
      <c r="D8011" s="4" t="str">
        <f t="shared" ref="D8011:D8012" si="746">HYPERLINK("https://12go.asia/en/travel/Negombo/Ambalantota", "12Go Link")</f>
        <v>12Go Link</v>
      </c>
      <c r="E8011" s="3" t="s">
        <v>3203</v>
      </c>
      <c r="K8011" s="5"/>
    </row>
    <row r="8012">
      <c r="A8012" s="3" t="s">
        <v>7689</v>
      </c>
      <c r="B8012" s="3" t="s">
        <v>7728</v>
      </c>
      <c r="C8012" s="3" t="s">
        <v>7921</v>
      </c>
      <c r="D8012" s="4" t="str">
        <f t="shared" si="746"/>
        <v>12Go Link</v>
      </c>
      <c r="E8012" s="3" t="s">
        <v>3197</v>
      </c>
      <c r="K8012" s="5"/>
    </row>
    <row r="8013">
      <c r="A8013" s="3" t="s">
        <v>7689</v>
      </c>
      <c r="B8013" s="3" t="s">
        <v>7749</v>
      </c>
      <c r="C8013" s="3" t="s">
        <v>7922</v>
      </c>
      <c r="D8013" s="4" t="str">
        <f t="shared" ref="D8013:D8014" si="747">HYPERLINK("https://12go.asia/en/travel/Negombo/Balapitiya", "12Go Link")</f>
        <v>12Go Link</v>
      </c>
      <c r="E8013" s="3" t="s">
        <v>3203</v>
      </c>
      <c r="K8013" s="5"/>
    </row>
    <row r="8014">
      <c r="A8014" s="3" t="s">
        <v>7689</v>
      </c>
      <c r="B8014" s="3" t="s">
        <v>7749</v>
      </c>
      <c r="C8014" s="3" t="s">
        <v>7922</v>
      </c>
      <c r="D8014" s="4" t="str">
        <f t="shared" si="747"/>
        <v>12Go Link</v>
      </c>
      <c r="E8014" s="3" t="s">
        <v>3197</v>
      </c>
      <c r="K8014" s="5"/>
    </row>
    <row r="8015">
      <c r="A8015" s="3" t="s">
        <v>7689</v>
      </c>
      <c r="B8015" s="3" t="s">
        <v>7760</v>
      </c>
      <c r="C8015" s="3" t="s">
        <v>7923</v>
      </c>
      <c r="D8015" s="4" t="str">
        <f t="shared" ref="D8015:D8017" si="748">HYPERLINK("https://12go.asia/en/travel/Negombo/Beruwala", "12Go Link")</f>
        <v>12Go Link</v>
      </c>
      <c r="E8015" s="3" t="s">
        <v>222</v>
      </c>
      <c r="K8015" s="5"/>
    </row>
    <row r="8016">
      <c r="A8016" s="3" t="s">
        <v>7689</v>
      </c>
      <c r="B8016" s="3" t="s">
        <v>7760</v>
      </c>
      <c r="C8016" s="3" t="s">
        <v>7923</v>
      </c>
      <c r="D8016" s="4" t="str">
        <f t="shared" si="748"/>
        <v>12Go Link</v>
      </c>
      <c r="E8016" s="3" t="s">
        <v>3203</v>
      </c>
      <c r="K8016" s="5"/>
    </row>
    <row r="8017">
      <c r="A8017" s="3" t="s">
        <v>7689</v>
      </c>
      <c r="B8017" s="3" t="s">
        <v>7760</v>
      </c>
      <c r="C8017" s="3" t="s">
        <v>7923</v>
      </c>
      <c r="D8017" s="4" t="str">
        <f t="shared" si="748"/>
        <v>12Go Link</v>
      </c>
      <c r="E8017" s="3" t="s">
        <v>3197</v>
      </c>
      <c r="K8017" s="5"/>
    </row>
    <row r="8018">
      <c r="A8018" s="3" t="s">
        <v>7689</v>
      </c>
      <c r="B8018" s="3" t="s">
        <v>7708</v>
      </c>
      <c r="C8018" s="3" t="s">
        <v>7924</v>
      </c>
      <c r="D8018" s="4" t="str">
        <f t="shared" ref="D8018:D8020" si="749">HYPERLINK("https://12go.asia/en/travel/Negombo-Transfer/Bandaranaike-Airport", "12Go Link")</f>
        <v>12Go Link</v>
      </c>
      <c r="E8018" s="3" t="s">
        <v>222</v>
      </c>
      <c r="K8018" s="5"/>
    </row>
    <row r="8019">
      <c r="A8019" s="3" t="s">
        <v>7689</v>
      </c>
      <c r="B8019" s="3" t="s">
        <v>7708</v>
      </c>
      <c r="C8019" s="3" t="s">
        <v>7924</v>
      </c>
      <c r="D8019" s="4" t="str">
        <f t="shared" si="749"/>
        <v>12Go Link</v>
      </c>
      <c r="E8019" s="3" t="s">
        <v>3203</v>
      </c>
      <c r="K8019" s="5"/>
    </row>
    <row r="8020">
      <c r="A8020" s="3" t="s">
        <v>7689</v>
      </c>
      <c r="B8020" s="3" t="s">
        <v>7708</v>
      </c>
      <c r="C8020" s="3" t="s">
        <v>7924</v>
      </c>
      <c r="D8020" s="4" t="str">
        <f t="shared" si="749"/>
        <v>12Go Link</v>
      </c>
      <c r="E8020" s="3" t="s">
        <v>3197</v>
      </c>
      <c r="K8020" s="5"/>
    </row>
    <row r="8021">
      <c r="A8021" s="3" t="s">
        <v>7689</v>
      </c>
      <c r="B8021" s="3" t="s">
        <v>7780</v>
      </c>
      <c r="C8021" s="3" t="s">
        <v>7925</v>
      </c>
      <c r="D8021" s="4" t="str">
        <f t="shared" ref="D8021:D8023" si="750">HYPERLINK("https://12go.asia/en/travel/Negombo/Dikwella", "12Go Link")</f>
        <v>12Go Link</v>
      </c>
      <c r="E8021" s="3" t="s">
        <v>222</v>
      </c>
      <c r="K8021" s="5"/>
    </row>
    <row r="8022">
      <c r="A8022" s="3" t="s">
        <v>7689</v>
      </c>
      <c r="B8022" s="3" t="s">
        <v>7780</v>
      </c>
      <c r="C8022" s="3" t="s">
        <v>7925</v>
      </c>
      <c r="D8022" s="4" t="str">
        <f t="shared" si="750"/>
        <v>12Go Link</v>
      </c>
      <c r="E8022" s="3" t="s">
        <v>3203</v>
      </c>
      <c r="K8022" s="5"/>
    </row>
    <row r="8023">
      <c r="A8023" s="3" t="s">
        <v>7689</v>
      </c>
      <c r="B8023" s="3" t="s">
        <v>7780</v>
      </c>
      <c r="C8023" s="3" t="s">
        <v>7925</v>
      </c>
      <c r="D8023" s="4" t="str">
        <f t="shared" si="750"/>
        <v>12Go Link</v>
      </c>
      <c r="E8023" s="3" t="s">
        <v>3197</v>
      </c>
      <c r="K8023" s="5"/>
    </row>
    <row r="8024">
      <c r="A8024" s="3" t="s">
        <v>7689</v>
      </c>
      <c r="B8024" s="3" t="s">
        <v>7685</v>
      </c>
      <c r="C8024" s="3" t="s">
        <v>7926</v>
      </c>
      <c r="D8024" s="4" t="str">
        <f t="shared" ref="D8024:D8026" si="751">HYPERLINK("https://12go.asia/en/travel/Negombo-Transfer/Ella", "12Go Link")</f>
        <v>12Go Link</v>
      </c>
      <c r="E8024" s="3" t="s">
        <v>222</v>
      </c>
      <c r="K8024" s="5"/>
    </row>
    <row r="8025">
      <c r="A8025" s="3" t="s">
        <v>7689</v>
      </c>
      <c r="B8025" s="3" t="s">
        <v>7685</v>
      </c>
      <c r="C8025" s="3" t="s">
        <v>7926</v>
      </c>
      <c r="D8025" s="4" t="str">
        <f t="shared" si="751"/>
        <v>12Go Link</v>
      </c>
      <c r="E8025" s="3" t="s">
        <v>3203</v>
      </c>
      <c r="K8025" s="5"/>
    </row>
    <row r="8026">
      <c r="A8026" s="3" t="s">
        <v>7689</v>
      </c>
      <c r="B8026" s="3" t="s">
        <v>7685</v>
      </c>
      <c r="C8026" s="3" t="s">
        <v>7926</v>
      </c>
      <c r="D8026" s="4" t="str">
        <f t="shared" si="751"/>
        <v>12Go Link</v>
      </c>
      <c r="E8026" s="3" t="s">
        <v>3197</v>
      </c>
      <c r="K8026" s="5"/>
    </row>
    <row r="8027">
      <c r="A8027" s="3" t="s">
        <v>7689</v>
      </c>
      <c r="B8027" s="3" t="s">
        <v>7783</v>
      </c>
      <c r="C8027" s="3" t="s">
        <v>7927</v>
      </c>
      <c r="D8027" s="4" t="str">
        <f t="shared" ref="D8027:D8028" si="752">HYPERLINK("https://12go.asia/en/travel/Negombo/Koggala", "12Go Link")</f>
        <v>12Go Link</v>
      </c>
      <c r="E8027" s="3" t="s">
        <v>3203</v>
      </c>
      <c r="K8027" s="5"/>
    </row>
    <row r="8028">
      <c r="A8028" s="3" t="s">
        <v>7689</v>
      </c>
      <c r="B8028" s="3" t="s">
        <v>7783</v>
      </c>
      <c r="C8028" s="3" t="s">
        <v>7927</v>
      </c>
      <c r="D8028" s="4" t="str">
        <f t="shared" si="752"/>
        <v>12Go Link</v>
      </c>
      <c r="E8028" s="3" t="s">
        <v>3197</v>
      </c>
      <c r="K8028" s="5"/>
    </row>
    <row r="8029">
      <c r="A8029" s="3" t="s">
        <v>7689</v>
      </c>
      <c r="B8029" s="3" t="s">
        <v>7783</v>
      </c>
      <c r="C8029" s="3" t="s">
        <v>7928</v>
      </c>
      <c r="D8029" s="4" t="str">
        <f t="shared" ref="D8029:D8030" si="753">HYPERLINK("https://12go.asia/en/travel/Negombo/Talpe", "12Go Link")</f>
        <v>12Go Link</v>
      </c>
      <c r="E8029" s="3" t="s">
        <v>3203</v>
      </c>
      <c r="K8029" s="5"/>
    </row>
    <row r="8030">
      <c r="A8030" s="3" t="s">
        <v>7689</v>
      </c>
      <c r="B8030" s="3" t="s">
        <v>7783</v>
      </c>
      <c r="C8030" s="3" t="s">
        <v>7928</v>
      </c>
      <c r="D8030" s="4" t="str">
        <f t="shared" si="753"/>
        <v>12Go Link</v>
      </c>
      <c r="E8030" s="3" t="s">
        <v>3197</v>
      </c>
      <c r="K8030" s="5"/>
    </row>
    <row r="8031">
      <c r="A8031" s="3" t="s">
        <v>7689</v>
      </c>
      <c r="B8031" s="3" t="s">
        <v>7786</v>
      </c>
      <c r="C8031" s="3" t="s">
        <v>7929</v>
      </c>
      <c r="D8031" s="4" t="str">
        <f t="shared" ref="D8031:D8032" si="754">HYPERLINK("https://12go.asia/en/travel/Negombo/Hambantota", "12Go Link")</f>
        <v>12Go Link</v>
      </c>
      <c r="E8031" s="3" t="s">
        <v>3203</v>
      </c>
      <c r="K8031" s="5"/>
    </row>
    <row r="8032">
      <c r="A8032" s="3" t="s">
        <v>7689</v>
      </c>
      <c r="B8032" s="3" t="s">
        <v>7786</v>
      </c>
      <c r="C8032" s="3" t="s">
        <v>7929</v>
      </c>
      <c r="D8032" s="4" t="str">
        <f t="shared" si="754"/>
        <v>12Go Link</v>
      </c>
      <c r="E8032" s="3" t="s">
        <v>3197</v>
      </c>
      <c r="K8032" s="5"/>
    </row>
    <row r="8033">
      <c r="A8033" s="3" t="s">
        <v>7689</v>
      </c>
      <c r="B8033" s="3" t="s">
        <v>7843</v>
      </c>
      <c r="C8033" s="3" t="s">
        <v>7930</v>
      </c>
      <c r="D8033" s="4" t="str">
        <f t="shared" ref="D8033:D8034" si="755">HYPERLINK("https://12go.asia/en/travel/Negombo/Haputale", "12Go Link")</f>
        <v>12Go Link</v>
      </c>
      <c r="E8033" s="3" t="s">
        <v>222</v>
      </c>
      <c r="K8033" s="5"/>
    </row>
    <row r="8034">
      <c r="A8034" s="3" t="s">
        <v>7689</v>
      </c>
      <c r="B8034" s="3" t="s">
        <v>7843</v>
      </c>
      <c r="C8034" s="3" t="s">
        <v>7930</v>
      </c>
      <c r="D8034" s="4" t="str">
        <f t="shared" si="755"/>
        <v>12Go Link</v>
      </c>
      <c r="E8034" s="3" t="s">
        <v>3197</v>
      </c>
      <c r="K8034" s="5"/>
    </row>
    <row r="8035">
      <c r="A8035" s="3" t="s">
        <v>7689</v>
      </c>
      <c r="B8035" s="3" t="s">
        <v>7790</v>
      </c>
      <c r="C8035" s="3" t="s">
        <v>7931</v>
      </c>
      <c r="D8035" s="4" t="str">
        <f t="shared" ref="D8035:D8037" si="756">HYPERLINK("https://12go.asia/en/travel/Negombo/Induruwa", "12Go Link")</f>
        <v>12Go Link</v>
      </c>
      <c r="E8035" s="3" t="s">
        <v>222</v>
      </c>
      <c r="K8035" s="5"/>
    </row>
    <row r="8036">
      <c r="A8036" s="3" t="s">
        <v>7689</v>
      </c>
      <c r="B8036" s="3" t="s">
        <v>7790</v>
      </c>
      <c r="C8036" s="3" t="s">
        <v>7931</v>
      </c>
      <c r="D8036" s="4" t="str">
        <f t="shared" si="756"/>
        <v>12Go Link</v>
      </c>
      <c r="E8036" s="3" t="s">
        <v>3203</v>
      </c>
      <c r="K8036" s="5"/>
    </row>
    <row r="8037">
      <c r="A8037" s="3" t="s">
        <v>7689</v>
      </c>
      <c r="B8037" s="3" t="s">
        <v>7790</v>
      </c>
      <c r="C8037" s="3" t="s">
        <v>7931</v>
      </c>
      <c r="D8037" s="4" t="str">
        <f t="shared" si="756"/>
        <v>12Go Link</v>
      </c>
      <c r="E8037" s="3" t="s">
        <v>3197</v>
      </c>
      <c r="K8037" s="5"/>
    </row>
    <row r="8038">
      <c r="A8038" s="3" t="s">
        <v>7689</v>
      </c>
      <c r="B8038" s="3" t="s">
        <v>7793</v>
      </c>
      <c r="C8038" s="3" t="s">
        <v>7932</v>
      </c>
      <c r="D8038" s="4" t="str">
        <f t="shared" ref="D8038:D8040" si="757">HYPERLINK("https://12go.asia/en/travel/Negombo/Kalutara", "12Go Link")</f>
        <v>12Go Link</v>
      </c>
      <c r="E8038" s="3" t="s">
        <v>222</v>
      </c>
      <c r="K8038" s="5"/>
    </row>
    <row r="8039">
      <c r="A8039" s="3" t="s">
        <v>7689</v>
      </c>
      <c r="B8039" s="3" t="s">
        <v>7793</v>
      </c>
      <c r="C8039" s="3" t="s">
        <v>7932</v>
      </c>
      <c r="D8039" s="4" t="str">
        <f t="shared" si="757"/>
        <v>12Go Link</v>
      </c>
      <c r="E8039" s="3" t="s">
        <v>3203</v>
      </c>
      <c r="K8039" s="5"/>
    </row>
    <row r="8040">
      <c r="A8040" s="3" t="s">
        <v>7689</v>
      </c>
      <c r="B8040" s="3" t="s">
        <v>7793</v>
      </c>
      <c r="C8040" s="3" t="s">
        <v>7932</v>
      </c>
      <c r="D8040" s="4" t="str">
        <f t="shared" si="757"/>
        <v>12Go Link</v>
      </c>
      <c r="E8040" s="3" t="s">
        <v>3197</v>
      </c>
      <c r="K8040" s="5"/>
    </row>
    <row r="8041">
      <c r="A8041" s="3" t="s">
        <v>7689</v>
      </c>
      <c r="B8041" s="3" t="s">
        <v>7795</v>
      </c>
      <c r="C8041" s="3" t="s">
        <v>7933</v>
      </c>
      <c r="D8041" s="4" t="str">
        <f t="shared" ref="D8041:D8043" si="758">HYPERLINK("https://12go.asia/en/travel/Negombo/Kataragama", "12Go Link")</f>
        <v>12Go Link</v>
      </c>
      <c r="E8041" s="3" t="s">
        <v>222</v>
      </c>
      <c r="K8041" s="5"/>
    </row>
    <row r="8042">
      <c r="A8042" s="3" t="s">
        <v>7689</v>
      </c>
      <c r="B8042" s="3" t="s">
        <v>7795</v>
      </c>
      <c r="C8042" s="3" t="s">
        <v>7933</v>
      </c>
      <c r="D8042" s="4" t="str">
        <f t="shared" si="758"/>
        <v>12Go Link</v>
      </c>
      <c r="E8042" s="3" t="s">
        <v>3203</v>
      </c>
      <c r="K8042" s="5"/>
    </row>
    <row r="8043">
      <c r="A8043" s="3" t="s">
        <v>7689</v>
      </c>
      <c r="B8043" s="3" t="s">
        <v>7795</v>
      </c>
      <c r="C8043" s="3" t="s">
        <v>7933</v>
      </c>
      <c r="D8043" s="4" t="str">
        <f t="shared" si="758"/>
        <v>12Go Link</v>
      </c>
      <c r="E8043" s="3" t="s">
        <v>3197</v>
      </c>
      <c r="K8043" s="5"/>
    </row>
    <row r="8044">
      <c r="A8044" s="3" t="s">
        <v>7689</v>
      </c>
      <c r="B8044" s="3" t="s">
        <v>7797</v>
      </c>
      <c r="C8044" s="3" t="s">
        <v>7934</v>
      </c>
      <c r="D8044" s="4" t="str">
        <f t="shared" ref="D8044:D8045" si="759">HYPERLINK("https://12go.asia/en/travel/Negombo/Kosgoda", "12Go Link")</f>
        <v>12Go Link</v>
      </c>
      <c r="E8044" s="3" t="s">
        <v>3203</v>
      </c>
      <c r="K8044" s="5"/>
    </row>
    <row r="8045">
      <c r="A8045" s="3" t="s">
        <v>7689</v>
      </c>
      <c r="B8045" s="3" t="s">
        <v>7797</v>
      </c>
      <c r="C8045" s="3" t="s">
        <v>7934</v>
      </c>
      <c r="D8045" s="4" t="str">
        <f t="shared" si="759"/>
        <v>12Go Link</v>
      </c>
      <c r="E8045" s="3" t="s">
        <v>3197</v>
      </c>
      <c r="K8045" s="5"/>
    </row>
    <row r="8046">
      <c r="A8046" s="3" t="s">
        <v>7689</v>
      </c>
      <c r="B8046" s="3" t="s">
        <v>7935</v>
      </c>
      <c r="C8046" s="3" t="s">
        <v>7936</v>
      </c>
      <c r="D8046" s="4" t="str">
        <f t="shared" ref="D8046:D8048" si="760">HYPERLINK("https://12go.asia/en/travel/Negombo/Kurunegala", "12Go Link")</f>
        <v>12Go Link</v>
      </c>
      <c r="E8046" s="3" t="s">
        <v>222</v>
      </c>
      <c r="K8046" s="5"/>
    </row>
    <row r="8047">
      <c r="A8047" s="3" t="s">
        <v>7689</v>
      </c>
      <c r="B8047" s="3" t="s">
        <v>7935</v>
      </c>
      <c r="C8047" s="3" t="s">
        <v>7936</v>
      </c>
      <c r="D8047" s="4" t="str">
        <f t="shared" si="760"/>
        <v>12Go Link</v>
      </c>
      <c r="E8047" s="3" t="s">
        <v>3203</v>
      </c>
      <c r="K8047" s="5"/>
    </row>
    <row r="8048">
      <c r="A8048" s="3" t="s">
        <v>7689</v>
      </c>
      <c r="B8048" s="3" t="s">
        <v>7935</v>
      </c>
      <c r="C8048" s="3" t="s">
        <v>7936</v>
      </c>
      <c r="D8048" s="4" t="str">
        <f t="shared" si="760"/>
        <v>12Go Link</v>
      </c>
      <c r="E8048" s="3" t="s">
        <v>3197</v>
      </c>
      <c r="K8048" s="5"/>
    </row>
    <row r="8049">
      <c r="A8049" s="3" t="s">
        <v>7689</v>
      </c>
      <c r="B8049" s="3" t="s">
        <v>7799</v>
      </c>
      <c r="C8049" s="3" t="s">
        <v>7937</v>
      </c>
      <c r="D8049" s="4" t="str">
        <f t="shared" ref="D8049:D8051" si="761">HYPERLINK("https://12go.asia/en/travel/Negombo/Matara", "12Go Link")</f>
        <v>12Go Link</v>
      </c>
      <c r="E8049" s="3" t="s">
        <v>222</v>
      </c>
      <c r="K8049" s="5"/>
    </row>
    <row r="8050">
      <c r="A8050" s="3" t="s">
        <v>7689</v>
      </c>
      <c r="B8050" s="3" t="s">
        <v>7799</v>
      </c>
      <c r="C8050" s="3" t="s">
        <v>7937</v>
      </c>
      <c r="D8050" s="4" t="str">
        <f t="shared" si="761"/>
        <v>12Go Link</v>
      </c>
      <c r="E8050" s="3" t="s">
        <v>3203</v>
      </c>
      <c r="K8050" s="5"/>
    </row>
    <row r="8051">
      <c r="A8051" s="3" t="s">
        <v>7689</v>
      </c>
      <c r="B8051" s="3" t="s">
        <v>7799</v>
      </c>
      <c r="C8051" s="3" t="s">
        <v>7937</v>
      </c>
      <c r="D8051" s="4" t="str">
        <f t="shared" si="761"/>
        <v>12Go Link</v>
      </c>
      <c r="E8051" s="3" t="s">
        <v>3197</v>
      </c>
      <c r="K8051" s="5"/>
    </row>
    <row r="8052">
      <c r="A8052" s="3" t="s">
        <v>7689</v>
      </c>
      <c r="B8052" s="3" t="s">
        <v>7799</v>
      </c>
      <c r="C8052" s="3" t="s">
        <v>7938</v>
      </c>
      <c r="D8052" s="4" t="str">
        <f t="shared" ref="D8052:D8053" si="762">HYPERLINK("https://12go.asia/en/travel/Negombo/Weligama", "12Go Link")</f>
        <v>12Go Link</v>
      </c>
      <c r="E8052" s="3" t="s">
        <v>3203</v>
      </c>
      <c r="K8052" s="5"/>
    </row>
    <row r="8053">
      <c r="A8053" s="3" t="s">
        <v>7689</v>
      </c>
      <c r="B8053" s="3" t="s">
        <v>7799</v>
      </c>
      <c r="C8053" s="3" t="s">
        <v>7938</v>
      </c>
      <c r="D8053" s="4" t="str">
        <f t="shared" si="762"/>
        <v>12Go Link</v>
      </c>
      <c r="E8053" s="3" t="s">
        <v>3197</v>
      </c>
      <c r="K8053" s="5"/>
    </row>
    <row r="8054">
      <c r="A8054" s="3" t="s">
        <v>7689</v>
      </c>
      <c r="B8054" s="3" t="s">
        <v>7691</v>
      </c>
      <c r="C8054" s="3" t="s">
        <v>7939</v>
      </c>
      <c r="D8054" s="4" t="str">
        <f t="shared" ref="D8054:D8055" si="763">HYPERLINK("https://12go.asia/en/travel/Negombo/Nuwara-Eliya", "12Go Link")</f>
        <v>12Go Link</v>
      </c>
      <c r="E8054" s="3" t="s">
        <v>3203</v>
      </c>
      <c r="K8054" s="5"/>
    </row>
    <row r="8055">
      <c r="A8055" s="3" t="s">
        <v>7689</v>
      </c>
      <c r="B8055" s="3" t="s">
        <v>7691</v>
      </c>
      <c r="C8055" s="3" t="s">
        <v>7939</v>
      </c>
      <c r="D8055" s="4" t="str">
        <f t="shared" si="763"/>
        <v>12Go Link</v>
      </c>
      <c r="E8055" s="3" t="s">
        <v>3197</v>
      </c>
      <c r="K8055" s="5"/>
    </row>
    <row r="8056">
      <c r="A8056" s="3" t="s">
        <v>7689</v>
      </c>
      <c r="B8056" s="3" t="s">
        <v>7940</v>
      </c>
      <c r="C8056" s="3" t="s">
        <v>7941</v>
      </c>
      <c r="D8056" s="4" t="str">
        <f t="shared" ref="D8056:D8057" si="764">HYPERLINK("https://12go.asia/en/travel/Negombo/Pahala-Maragahawewa", "12Go Link")</f>
        <v>12Go Link</v>
      </c>
      <c r="E8056" s="3" t="s">
        <v>222</v>
      </c>
      <c r="K8056" s="5"/>
    </row>
    <row r="8057">
      <c r="A8057" s="3" t="s">
        <v>7689</v>
      </c>
      <c r="B8057" s="3" t="s">
        <v>7940</v>
      </c>
      <c r="C8057" s="3" t="s">
        <v>7941</v>
      </c>
      <c r="D8057" s="4" t="str">
        <f t="shared" si="764"/>
        <v>12Go Link</v>
      </c>
      <c r="E8057" s="3" t="s">
        <v>3197</v>
      </c>
      <c r="K8057" s="5"/>
    </row>
    <row r="8058">
      <c r="A8058" s="3" t="s">
        <v>7689</v>
      </c>
      <c r="B8058" s="3" t="s">
        <v>7695</v>
      </c>
      <c r="C8058" s="3" t="s">
        <v>7942</v>
      </c>
      <c r="D8058" s="4" t="str">
        <f t="shared" ref="D8058:D8059" si="765">HYPERLINK("https://12go.asia/en/travel/Negombo/Tissamaharama", "12Go Link")</f>
        <v>12Go Link</v>
      </c>
      <c r="E8058" s="3" t="s">
        <v>3203</v>
      </c>
      <c r="K8058" s="5"/>
    </row>
    <row r="8059">
      <c r="A8059" s="3" t="s">
        <v>7689</v>
      </c>
      <c r="B8059" s="3" t="s">
        <v>7695</v>
      </c>
      <c r="C8059" s="3" t="s">
        <v>7942</v>
      </c>
      <c r="D8059" s="4" t="str">
        <f t="shared" si="765"/>
        <v>12Go Link</v>
      </c>
      <c r="E8059" s="3" t="s">
        <v>3197</v>
      </c>
      <c r="K8059" s="5"/>
    </row>
    <row r="8060">
      <c r="A8060" s="3" t="s">
        <v>7689</v>
      </c>
      <c r="B8060" s="3" t="s">
        <v>7695</v>
      </c>
      <c r="C8060" s="3" t="s">
        <v>7943</v>
      </c>
      <c r="D8060" s="4" t="str">
        <f t="shared" ref="D8060:D8061" si="766">HYPERLINK("https://12go.asia/en/travel/Negombo/Yala-Park", "12Go Link")</f>
        <v>12Go Link</v>
      </c>
      <c r="E8060" s="3" t="s">
        <v>3203</v>
      </c>
      <c r="K8060" s="5"/>
    </row>
    <row r="8061">
      <c r="A8061" s="3" t="s">
        <v>7689</v>
      </c>
      <c r="B8061" s="3" t="s">
        <v>7695</v>
      </c>
      <c r="C8061" s="3" t="s">
        <v>7943</v>
      </c>
      <c r="D8061" s="4" t="str">
        <f t="shared" si="766"/>
        <v>12Go Link</v>
      </c>
      <c r="E8061" s="3" t="s">
        <v>3197</v>
      </c>
      <c r="K8061" s="5"/>
    </row>
    <row r="8062">
      <c r="A8062" s="3" t="s">
        <v>7689</v>
      </c>
      <c r="B8062" s="3" t="s">
        <v>7809</v>
      </c>
      <c r="C8062" s="3" t="s">
        <v>7944</v>
      </c>
      <c r="D8062" s="4" t="str">
        <f t="shared" ref="D8062:D8064" si="767">HYPERLINK("https://12go.asia/en/travel/Negombo/Udawalawa", "12Go Link")</f>
        <v>12Go Link</v>
      </c>
      <c r="E8062" s="3" t="s">
        <v>222</v>
      </c>
      <c r="K8062" s="5"/>
    </row>
    <row r="8063">
      <c r="A8063" s="3" t="s">
        <v>7689</v>
      </c>
      <c r="B8063" s="3" t="s">
        <v>7809</v>
      </c>
      <c r="C8063" s="3" t="s">
        <v>7944</v>
      </c>
      <c r="D8063" s="4" t="str">
        <f t="shared" si="767"/>
        <v>12Go Link</v>
      </c>
      <c r="E8063" s="3" t="s">
        <v>3203</v>
      </c>
      <c r="K8063" s="5"/>
    </row>
    <row r="8064">
      <c r="A8064" s="3" t="s">
        <v>7689</v>
      </c>
      <c r="B8064" s="3" t="s">
        <v>7809</v>
      </c>
      <c r="C8064" s="3" t="s">
        <v>7944</v>
      </c>
      <c r="D8064" s="4" t="str">
        <f t="shared" si="767"/>
        <v>12Go Link</v>
      </c>
      <c r="E8064" s="3" t="s">
        <v>3197</v>
      </c>
      <c r="K8064" s="5"/>
    </row>
    <row r="8065">
      <c r="A8065" s="3" t="s">
        <v>7689</v>
      </c>
      <c r="B8065" s="3" t="s">
        <v>7811</v>
      </c>
      <c r="C8065" s="3" t="s">
        <v>7945</v>
      </c>
      <c r="D8065" s="4" t="str">
        <f t="shared" ref="D8065:D8067" si="768">HYPERLINK("https://12go.asia/en/travel/Negombo/Unawatuna", "12Go Link")</f>
        <v>12Go Link</v>
      </c>
      <c r="E8065" s="3" t="s">
        <v>222</v>
      </c>
      <c r="K8065" s="5"/>
    </row>
    <row r="8066">
      <c r="A8066" s="3" t="s">
        <v>7689</v>
      </c>
      <c r="B8066" s="3" t="s">
        <v>7811</v>
      </c>
      <c r="C8066" s="3" t="s">
        <v>7945</v>
      </c>
      <c r="D8066" s="4" t="str">
        <f t="shared" si="768"/>
        <v>12Go Link</v>
      </c>
      <c r="E8066" s="3" t="s">
        <v>3203</v>
      </c>
      <c r="K8066" s="5"/>
    </row>
    <row r="8067">
      <c r="A8067" s="3" t="s">
        <v>7689</v>
      </c>
      <c r="B8067" s="3" t="s">
        <v>7811</v>
      </c>
      <c r="C8067" s="3" t="s">
        <v>7945</v>
      </c>
      <c r="D8067" s="4" t="str">
        <f t="shared" si="768"/>
        <v>12Go Link</v>
      </c>
      <c r="E8067" s="3" t="s">
        <v>3197</v>
      </c>
      <c r="K8067" s="5"/>
    </row>
    <row r="8068">
      <c r="A8068" s="3" t="s">
        <v>7689</v>
      </c>
      <c r="B8068" s="3" t="s">
        <v>7813</v>
      </c>
      <c r="C8068" s="3" t="s">
        <v>7946</v>
      </c>
      <c r="D8068" s="4" t="str">
        <f t="shared" ref="D8068:D8069" si="769">HYPERLINK("https://12go.asia/en/travel/Negombo/Wadduwa", "12Go Link")</f>
        <v>12Go Link</v>
      </c>
      <c r="E8068" s="3" t="s">
        <v>3203</v>
      </c>
      <c r="K8068" s="5"/>
    </row>
    <row r="8069">
      <c r="A8069" s="3" t="s">
        <v>7689</v>
      </c>
      <c r="B8069" s="3" t="s">
        <v>7813</v>
      </c>
      <c r="C8069" s="3" t="s">
        <v>7946</v>
      </c>
      <c r="D8069" s="4" t="str">
        <f t="shared" si="769"/>
        <v>12Go Link</v>
      </c>
      <c r="E8069" s="3" t="s">
        <v>3197</v>
      </c>
      <c r="K8069" s="5"/>
    </row>
    <row r="8070">
      <c r="A8070" s="3" t="s">
        <v>7689</v>
      </c>
      <c r="B8070" s="3" t="s">
        <v>7813</v>
      </c>
      <c r="C8070" s="3" t="s">
        <v>7947</v>
      </c>
      <c r="D8070" s="4" t="str">
        <f t="shared" ref="D8070:D8071" si="770">HYPERLINK("https://12go.asia/en/travel/Negombo/Waskaduwa", "12Go Link")</f>
        <v>12Go Link</v>
      </c>
      <c r="E8070" s="3" t="s">
        <v>3203</v>
      </c>
      <c r="K8070" s="5"/>
    </row>
    <row r="8071">
      <c r="A8071" s="3" t="s">
        <v>7689</v>
      </c>
      <c r="B8071" s="3" t="s">
        <v>7813</v>
      </c>
      <c r="C8071" s="3" t="s">
        <v>7947</v>
      </c>
      <c r="D8071" s="4" t="str">
        <f t="shared" si="770"/>
        <v>12Go Link</v>
      </c>
      <c r="E8071" s="3" t="s">
        <v>3197</v>
      </c>
      <c r="K8071" s="5"/>
    </row>
    <row r="8072">
      <c r="A8072" s="3" t="s">
        <v>7948</v>
      </c>
      <c r="B8072" s="3" t="s">
        <v>7687</v>
      </c>
      <c r="C8072" s="3" t="s">
        <v>7949</v>
      </c>
      <c r="D8072" s="4" t="str">
        <f t="shared" ref="D8072:D8074" si="771">HYPERLINK("https://12go.asia/en/travel/Nilaveli/Kandy", "12Go Link")</f>
        <v>12Go Link</v>
      </c>
      <c r="E8072" s="3" t="s">
        <v>222</v>
      </c>
      <c r="K8072" s="5"/>
    </row>
    <row r="8073">
      <c r="A8073" s="3" t="s">
        <v>7948</v>
      </c>
      <c r="B8073" s="3" t="s">
        <v>7687</v>
      </c>
      <c r="C8073" s="3" t="s">
        <v>7949</v>
      </c>
      <c r="D8073" s="4" t="str">
        <f t="shared" si="771"/>
        <v>12Go Link</v>
      </c>
      <c r="E8073" s="3" t="s">
        <v>3203</v>
      </c>
      <c r="K8073" s="5"/>
    </row>
    <row r="8074">
      <c r="A8074" s="3" t="s">
        <v>7948</v>
      </c>
      <c r="B8074" s="3" t="s">
        <v>7687</v>
      </c>
      <c r="C8074" s="3" t="s">
        <v>7949</v>
      </c>
      <c r="D8074" s="4" t="str">
        <f t="shared" si="771"/>
        <v>12Go Link</v>
      </c>
      <c r="E8074" s="3" t="s">
        <v>3197</v>
      </c>
      <c r="K8074" s="5"/>
    </row>
    <row r="8075">
      <c r="A8075" s="3" t="s">
        <v>7691</v>
      </c>
      <c r="B8075" s="3" t="s">
        <v>7705</v>
      </c>
      <c r="C8075" s="3" t="s">
        <v>7950</v>
      </c>
      <c r="D8075" s="4" t="str">
        <f t="shared" ref="D8075:D8076" si="772">HYPERLINK("https://12go.asia/en/travel/Nuwara-Eliya/Aluthgama", "12Go Link")</f>
        <v>12Go Link</v>
      </c>
      <c r="E8075" s="3" t="s">
        <v>3203</v>
      </c>
      <c r="K8075" s="5"/>
    </row>
    <row r="8076">
      <c r="A8076" s="3" t="s">
        <v>7691</v>
      </c>
      <c r="B8076" s="3" t="s">
        <v>7705</v>
      </c>
      <c r="C8076" s="3" t="s">
        <v>7950</v>
      </c>
      <c r="D8076" s="4" t="str">
        <f t="shared" si="772"/>
        <v>12Go Link</v>
      </c>
      <c r="E8076" s="3" t="s">
        <v>3197</v>
      </c>
      <c r="K8076" s="5"/>
    </row>
    <row r="8077">
      <c r="A8077" s="3" t="s">
        <v>7691</v>
      </c>
      <c r="B8077" s="3" t="s">
        <v>7755</v>
      </c>
      <c r="C8077" s="3" t="s">
        <v>7951</v>
      </c>
      <c r="D8077" s="4" t="str">
        <f t="shared" ref="D8077:D8078" si="773">HYPERLINK("https://12go.asia/en/travel/Nuwara-Eliya/Bentota", "12Go Link")</f>
        <v>12Go Link</v>
      </c>
      <c r="E8077" s="3" t="s">
        <v>3203</v>
      </c>
      <c r="K8077" s="5"/>
    </row>
    <row r="8078">
      <c r="A8078" s="3" t="s">
        <v>7691</v>
      </c>
      <c r="B8078" s="3" t="s">
        <v>7755</v>
      </c>
      <c r="C8078" s="3" t="s">
        <v>7951</v>
      </c>
      <c r="D8078" s="4" t="str">
        <f t="shared" si="773"/>
        <v>12Go Link</v>
      </c>
      <c r="E8078" s="3" t="s">
        <v>3197</v>
      </c>
      <c r="K8078" s="5"/>
    </row>
    <row r="8079">
      <c r="A8079" s="3" t="s">
        <v>7691</v>
      </c>
      <c r="B8079" s="3" t="s">
        <v>7695</v>
      </c>
      <c r="C8079" s="3" t="s">
        <v>7952</v>
      </c>
      <c r="D8079" s="4" t="str">
        <f t="shared" ref="D8079:D8080" si="774">HYPERLINK("https://12go.asia/en/travel/Nuwara-Eliya/Yala-Park", "12Go Link")</f>
        <v>12Go Link</v>
      </c>
      <c r="E8079" s="3" t="s">
        <v>3203</v>
      </c>
      <c r="K8079" s="5"/>
    </row>
    <row r="8080">
      <c r="A8080" s="3" t="s">
        <v>7691</v>
      </c>
      <c r="B8080" s="3" t="s">
        <v>7695</v>
      </c>
      <c r="C8080" s="3" t="s">
        <v>7952</v>
      </c>
      <c r="D8080" s="4" t="str">
        <f t="shared" si="774"/>
        <v>12Go Link</v>
      </c>
      <c r="E8080" s="3" t="s">
        <v>3197</v>
      </c>
      <c r="K8080" s="5"/>
    </row>
    <row r="8081">
      <c r="A8081" s="3" t="s">
        <v>7693</v>
      </c>
      <c r="B8081" s="3" t="s">
        <v>7682</v>
      </c>
      <c r="C8081" s="3" t="s">
        <v>7953</v>
      </c>
      <c r="D8081" s="4" t="str">
        <f t="shared" ref="D8081:D8082" si="775">HYPERLINK("https://12go.asia/en/travel/Sigiriya/Ahangama", "12Go Link")</f>
        <v>12Go Link</v>
      </c>
      <c r="E8081" s="3" t="s">
        <v>3203</v>
      </c>
      <c r="K8081" s="5"/>
    </row>
    <row r="8082">
      <c r="A8082" s="3" t="s">
        <v>7693</v>
      </c>
      <c r="B8082" s="3" t="s">
        <v>7682</v>
      </c>
      <c r="C8082" s="3" t="s">
        <v>7953</v>
      </c>
      <c r="D8082" s="4" t="str">
        <f t="shared" si="775"/>
        <v>12Go Link</v>
      </c>
      <c r="E8082" s="3" t="s">
        <v>3197</v>
      </c>
      <c r="K8082" s="5"/>
    </row>
    <row r="8083">
      <c r="A8083" s="3" t="s">
        <v>7693</v>
      </c>
      <c r="B8083" s="3" t="s">
        <v>7705</v>
      </c>
      <c r="C8083" s="3" t="s">
        <v>7954</v>
      </c>
      <c r="D8083" s="4" t="str">
        <f t="shared" ref="D8083:D8084" si="776">HYPERLINK("https://12go.asia/en/travel/Sigiriya/Aluthgama", "12Go Link")</f>
        <v>12Go Link</v>
      </c>
      <c r="E8083" s="3" t="s">
        <v>3203</v>
      </c>
      <c r="K8083" s="5"/>
    </row>
    <row r="8084">
      <c r="A8084" s="3" t="s">
        <v>7693</v>
      </c>
      <c r="B8084" s="3" t="s">
        <v>7705</v>
      </c>
      <c r="C8084" s="3" t="s">
        <v>7954</v>
      </c>
      <c r="D8084" s="4" t="str">
        <f t="shared" si="776"/>
        <v>12Go Link</v>
      </c>
      <c r="E8084" s="3" t="s">
        <v>3197</v>
      </c>
      <c r="K8084" s="5"/>
    </row>
    <row r="8085">
      <c r="A8085" s="3" t="s">
        <v>7693</v>
      </c>
      <c r="B8085" s="3" t="s">
        <v>7706</v>
      </c>
      <c r="C8085" s="3" t="s">
        <v>7955</v>
      </c>
      <c r="D8085" s="4" t="str">
        <f t="shared" ref="D8085:D8087" si="777">HYPERLINK("https://12go.asia/en/travel/Sigiriya/Colombo", "12Go Link")</f>
        <v>12Go Link</v>
      </c>
      <c r="E8085" s="3" t="s">
        <v>222</v>
      </c>
      <c r="K8085" s="5"/>
    </row>
    <row r="8086">
      <c r="A8086" s="3" t="s">
        <v>7693</v>
      </c>
      <c r="B8086" s="3" t="s">
        <v>7706</v>
      </c>
      <c r="C8086" s="3" t="s">
        <v>7955</v>
      </c>
      <c r="D8086" s="4" t="str">
        <f t="shared" si="777"/>
        <v>12Go Link</v>
      </c>
      <c r="E8086" s="3" t="s">
        <v>3203</v>
      </c>
      <c r="K8086" s="5"/>
    </row>
    <row r="8087">
      <c r="A8087" s="3" t="s">
        <v>7693</v>
      </c>
      <c r="B8087" s="3" t="s">
        <v>7706</v>
      </c>
      <c r="C8087" s="3" t="s">
        <v>7955</v>
      </c>
      <c r="D8087" s="4" t="str">
        <f t="shared" si="777"/>
        <v>12Go Link</v>
      </c>
      <c r="E8087" s="3" t="s">
        <v>3197</v>
      </c>
      <c r="K8087" s="5"/>
    </row>
    <row r="8088">
      <c r="A8088" s="3" t="s">
        <v>7693</v>
      </c>
      <c r="B8088" s="3" t="s">
        <v>7691</v>
      </c>
      <c r="C8088" s="3" t="s">
        <v>7956</v>
      </c>
      <c r="D8088" s="4" t="str">
        <f t="shared" ref="D8088:D8090" si="778">HYPERLINK("https://12go.asia/en/travel/Sigiriya/Nuwara-Eliya", "12Go Link")</f>
        <v>12Go Link</v>
      </c>
      <c r="E8088" s="3" t="s">
        <v>222</v>
      </c>
      <c r="K8088" s="5"/>
    </row>
    <row r="8089">
      <c r="A8089" s="3" t="s">
        <v>7693</v>
      </c>
      <c r="B8089" s="3" t="s">
        <v>7691</v>
      </c>
      <c r="C8089" s="3" t="s">
        <v>7956</v>
      </c>
      <c r="D8089" s="4" t="str">
        <f t="shared" si="778"/>
        <v>12Go Link</v>
      </c>
      <c r="E8089" s="3" t="s">
        <v>3203</v>
      </c>
      <c r="K8089" s="5"/>
    </row>
    <row r="8090">
      <c r="A8090" s="3" t="s">
        <v>7693</v>
      </c>
      <c r="B8090" s="3" t="s">
        <v>7691</v>
      </c>
      <c r="C8090" s="3" t="s">
        <v>7956</v>
      </c>
      <c r="D8090" s="4" t="str">
        <f t="shared" si="778"/>
        <v>12Go Link</v>
      </c>
      <c r="E8090" s="3" t="s">
        <v>3197</v>
      </c>
      <c r="K8090" s="5"/>
    </row>
    <row r="8091">
      <c r="A8091" s="3" t="s">
        <v>7693</v>
      </c>
      <c r="B8091" s="3" t="s">
        <v>7695</v>
      </c>
      <c r="C8091" s="3" t="s">
        <v>7957</v>
      </c>
      <c r="D8091" s="4" t="str">
        <f t="shared" ref="D8091:D8093" si="779">HYPERLINK("https://12go.asia/en/travel/Sigiriya/Yala-Park", "12Go Link")</f>
        <v>12Go Link</v>
      </c>
      <c r="E8091" s="3" t="s">
        <v>222</v>
      </c>
      <c r="K8091" s="5"/>
    </row>
    <row r="8092">
      <c r="A8092" s="3" t="s">
        <v>7693</v>
      </c>
      <c r="B8092" s="3" t="s">
        <v>7695</v>
      </c>
      <c r="C8092" s="3" t="s">
        <v>7957</v>
      </c>
      <c r="D8092" s="4" t="str">
        <f t="shared" si="779"/>
        <v>12Go Link</v>
      </c>
      <c r="E8092" s="3" t="s">
        <v>3203</v>
      </c>
      <c r="K8092" s="5"/>
    </row>
    <row r="8093">
      <c r="A8093" s="3" t="s">
        <v>7693</v>
      </c>
      <c r="B8093" s="3" t="s">
        <v>7695</v>
      </c>
      <c r="C8093" s="3" t="s">
        <v>7957</v>
      </c>
      <c r="D8093" s="4" t="str">
        <f t="shared" si="779"/>
        <v>12Go Link</v>
      </c>
      <c r="E8093" s="3" t="s">
        <v>3197</v>
      </c>
      <c r="K8093" s="5"/>
    </row>
    <row r="8094">
      <c r="A8094" s="3" t="s">
        <v>7695</v>
      </c>
      <c r="B8094" s="3" t="s">
        <v>7706</v>
      </c>
      <c r="C8094" s="3" t="s">
        <v>7958</v>
      </c>
      <c r="D8094" s="4" t="str">
        <f t="shared" ref="D8094:D8095" si="780">HYPERLINK("https://12go.asia/en/travel/Tissamaharama/Colombo", "12Go Link")</f>
        <v>12Go Link</v>
      </c>
      <c r="E8094" s="3" t="s">
        <v>3203</v>
      </c>
      <c r="K8094" s="5"/>
    </row>
    <row r="8095">
      <c r="A8095" s="3" t="s">
        <v>7695</v>
      </c>
      <c r="B8095" s="3" t="s">
        <v>7706</v>
      </c>
      <c r="C8095" s="3" t="s">
        <v>7958</v>
      </c>
      <c r="D8095" s="4" t="str">
        <f t="shared" si="780"/>
        <v>12Go Link</v>
      </c>
      <c r="E8095" s="3" t="s">
        <v>3197</v>
      </c>
      <c r="K8095" s="5"/>
    </row>
    <row r="8096">
      <c r="A8096" s="3" t="s">
        <v>7695</v>
      </c>
      <c r="B8096" s="3" t="s">
        <v>7708</v>
      </c>
      <c r="C8096" s="3" t="s">
        <v>7959</v>
      </c>
      <c r="D8096" s="4" t="str">
        <f t="shared" ref="D8096:D8097" si="781">HYPERLINK("https://12go.asia/en/travel/Tissamaharama/Bandaranaike-Airport", "12Go Link")</f>
        <v>12Go Link</v>
      </c>
      <c r="E8096" s="3" t="s">
        <v>3203</v>
      </c>
      <c r="K8096" s="5"/>
    </row>
    <row r="8097">
      <c r="A8097" s="3" t="s">
        <v>7695</v>
      </c>
      <c r="B8097" s="3" t="s">
        <v>7708</v>
      </c>
      <c r="C8097" s="3" t="s">
        <v>7959</v>
      </c>
      <c r="D8097" s="4" t="str">
        <f t="shared" si="781"/>
        <v>12Go Link</v>
      </c>
      <c r="E8097" s="3" t="s">
        <v>3197</v>
      </c>
      <c r="K8097" s="5"/>
    </row>
    <row r="8098">
      <c r="A8098" s="3" t="s">
        <v>7695</v>
      </c>
      <c r="B8098" s="3" t="s">
        <v>7683</v>
      </c>
      <c r="C8098" s="3" t="s">
        <v>7960</v>
      </c>
      <c r="D8098" s="4" t="str">
        <f t="shared" ref="D8098:D8099" si="782">HYPERLINK("https://12go.asia/en/travel/Yala-Park/Dambulla", "12Go Link")</f>
        <v>12Go Link</v>
      </c>
      <c r="E8098" s="3" t="s">
        <v>3203</v>
      </c>
      <c r="K8098" s="5"/>
    </row>
    <row r="8099">
      <c r="A8099" s="3" t="s">
        <v>7695</v>
      </c>
      <c r="B8099" s="3" t="s">
        <v>7683</v>
      </c>
      <c r="C8099" s="3" t="s">
        <v>7960</v>
      </c>
      <c r="D8099" s="4" t="str">
        <f t="shared" si="782"/>
        <v>12Go Link</v>
      </c>
      <c r="E8099" s="3" t="s">
        <v>3197</v>
      </c>
      <c r="K8099" s="5"/>
    </row>
    <row r="8100">
      <c r="A8100" s="3" t="s">
        <v>7695</v>
      </c>
      <c r="B8100" s="3" t="s">
        <v>7783</v>
      </c>
      <c r="C8100" s="3" t="s">
        <v>7961</v>
      </c>
      <c r="D8100" s="4" t="str">
        <f t="shared" ref="D8100:D8102" si="783">HYPERLINK("https://12go.asia/en/travel/Tissamaharama/Galle", "12Go Link")</f>
        <v>12Go Link</v>
      </c>
      <c r="E8100" s="3" t="s">
        <v>222</v>
      </c>
      <c r="K8100" s="5"/>
    </row>
    <row r="8101">
      <c r="A8101" s="3" t="s">
        <v>7695</v>
      </c>
      <c r="B8101" s="3" t="s">
        <v>7783</v>
      </c>
      <c r="C8101" s="3" t="s">
        <v>7961</v>
      </c>
      <c r="D8101" s="4" t="str">
        <f t="shared" si="783"/>
        <v>12Go Link</v>
      </c>
      <c r="E8101" s="3" t="s">
        <v>3203</v>
      </c>
      <c r="K8101" s="5"/>
    </row>
    <row r="8102">
      <c r="A8102" s="3" t="s">
        <v>7695</v>
      </c>
      <c r="B8102" s="3" t="s">
        <v>7783</v>
      </c>
      <c r="C8102" s="3" t="s">
        <v>7961</v>
      </c>
      <c r="D8102" s="4" t="str">
        <f t="shared" si="783"/>
        <v>12Go Link</v>
      </c>
      <c r="E8102" s="3" t="s">
        <v>3197</v>
      </c>
      <c r="K8102" s="5"/>
    </row>
    <row r="8103">
      <c r="A8103" s="3" t="s">
        <v>7695</v>
      </c>
      <c r="B8103" s="3" t="s">
        <v>7845</v>
      </c>
      <c r="C8103" s="3" t="s">
        <v>7962</v>
      </c>
      <c r="D8103" s="4" t="str">
        <f t="shared" ref="D8103:D8105" si="784">HYPERLINK("https://12go.asia/en/travel/Tissamaharama/Hikkaduwa", "12Go Link")</f>
        <v>12Go Link</v>
      </c>
      <c r="E8103" s="3" t="s">
        <v>222</v>
      </c>
      <c r="K8103" s="5"/>
    </row>
    <row r="8104">
      <c r="A8104" s="3" t="s">
        <v>7695</v>
      </c>
      <c r="B8104" s="3" t="s">
        <v>7845</v>
      </c>
      <c r="C8104" s="3" t="s">
        <v>7962</v>
      </c>
      <c r="D8104" s="4" t="str">
        <f t="shared" si="784"/>
        <v>12Go Link</v>
      </c>
      <c r="E8104" s="3" t="s">
        <v>3203</v>
      </c>
      <c r="K8104" s="5"/>
    </row>
    <row r="8105">
      <c r="A8105" s="3" t="s">
        <v>7695</v>
      </c>
      <c r="B8105" s="3" t="s">
        <v>7845</v>
      </c>
      <c r="C8105" s="3" t="s">
        <v>7962</v>
      </c>
      <c r="D8105" s="4" t="str">
        <f t="shared" si="784"/>
        <v>12Go Link</v>
      </c>
      <c r="E8105" s="3" t="s">
        <v>3197</v>
      </c>
      <c r="K8105" s="5"/>
    </row>
    <row r="8106">
      <c r="A8106" s="3" t="s">
        <v>7695</v>
      </c>
      <c r="B8106" s="3" t="s">
        <v>7687</v>
      </c>
      <c r="C8106" s="3" t="s">
        <v>7963</v>
      </c>
      <c r="D8106" s="4" t="str">
        <f t="shared" ref="D8106:D8107" si="785">HYPERLINK("https://12go.asia/en/travel/Yala-Park/Kandy", "12Go Link")</f>
        <v>12Go Link</v>
      </c>
      <c r="E8106" s="3" t="s">
        <v>3203</v>
      </c>
      <c r="K8106" s="5"/>
    </row>
    <row r="8107">
      <c r="A8107" s="3" t="s">
        <v>7695</v>
      </c>
      <c r="B8107" s="3" t="s">
        <v>7687</v>
      </c>
      <c r="C8107" s="3" t="s">
        <v>7963</v>
      </c>
      <c r="D8107" s="4" t="str">
        <f t="shared" si="785"/>
        <v>12Go Link</v>
      </c>
      <c r="E8107" s="3" t="s">
        <v>3197</v>
      </c>
      <c r="K8107" s="5"/>
    </row>
    <row r="8108">
      <c r="A8108" s="3" t="s">
        <v>7695</v>
      </c>
      <c r="B8108" s="3" t="s">
        <v>7689</v>
      </c>
      <c r="C8108" s="3" t="s">
        <v>7964</v>
      </c>
      <c r="D8108" s="4" t="str">
        <f t="shared" ref="D8108:D8109" si="786">HYPERLINK("https://12go.asia/en/travel/Tissamaharama/Negombo", "12Go Link")</f>
        <v>12Go Link</v>
      </c>
      <c r="E8108" s="3" t="s">
        <v>3203</v>
      </c>
      <c r="K8108" s="5"/>
    </row>
    <row r="8109">
      <c r="A8109" s="3" t="s">
        <v>7695</v>
      </c>
      <c r="B8109" s="3" t="s">
        <v>7689</v>
      </c>
      <c r="C8109" s="3" t="s">
        <v>7964</v>
      </c>
      <c r="D8109" s="4" t="str">
        <f t="shared" si="786"/>
        <v>12Go Link</v>
      </c>
      <c r="E8109" s="3" t="s">
        <v>3197</v>
      </c>
      <c r="K8109" s="5"/>
    </row>
    <row r="8110">
      <c r="A8110" s="3" t="s">
        <v>7695</v>
      </c>
      <c r="B8110" s="3" t="s">
        <v>7689</v>
      </c>
      <c r="C8110" s="3" t="s">
        <v>7965</v>
      </c>
      <c r="D8110" s="4" t="str">
        <f t="shared" ref="D8110:D8112" si="787">HYPERLINK("https://12go.asia/en/travel/Yala-Park/Negombo", "12Go Link")</f>
        <v>12Go Link</v>
      </c>
      <c r="E8110" s="3" t="s">
        <v>222</v>
      </c>
      <c r="K8110" s="5"/>
    </row>
    <row r="8111">
      <c r="A8111" s="3" t="s">
        <v>7695</v>
      </c>
      <c r="B8111" s="3" t="s">
        <v>7689</v>
      </c>
      <c r="C8111" s="3" t="s">
        <v>7965</v>
      </c>
      <c r="D8111" s="4" t="str">
        <f t="shared" si="787"/>
        <v>12Go Link</v>
      </c>
      <c r="E8111" s="3" t="s">
        <v>3203</v>
      </c>
      <c r="K8111" s="5"/>
    </row>
    <row r="8112">
      <c r="A8112" s="3" t="s">
        <v>7695</v>
      </c>
      <c r="B8112" s="3" t="s">
        <v>7689</v>
      </c>
      <c r="C8112" s="3" t="s">
        <v>7965</v>
      </c>
      <c r="D8112" s="4" t="str">
        <f t="shared" si="787"/>
        <v>12Go Link</v>
      </c>
      <c r="E8112" s="3" t="s">
        <v>3197</v>
      </c>
      <c r="K8112" s="5"/>
    </row>
    <row r="8113">
      <c r="A8113" s="3" t="s">
        <v>7695</v>
      </c>
      <c r="B8113" s="3" t="s">
        <v>7691</v>
      </c>
      <c r="C8113" s="3" t="s">
        <v>7966</v>
      </c>
      <c r="D8113" s="4" t="str">
        <f t="shared" ref="D8113:D8114" si="788">HYPERLINK("https://12go.asia/en/travel/Yala-Park/Nuwara-Eliya", "12Go Link")</f>
        <v>12Go Link</v>
      </c>
      <c r="E8113" s="3" t="s">
        <v>3203</v>
      </c>
      <c r="K8113" s="5"/>
    </row>
    <row r="8114">
      <c r="A8114" s="3" t="s">
        <v>7695</v>
      </c>
      <c r="B8114" s="3" t="s">
        <v>7691</v>
      </c>
      <c r="C8114" s="3" t="s">
        <v>7966</v>
      </c>
      <c r="D8114" s="4" t="str">
        <f t="shared" si="788"/>
        <v>12Go Link</v>
      </c>
      <c r="E8114" s="3" t="s">
        <v>3197</v>
      </c>
      <c r="K8114" s="5"/>
    </row>
    <row r="8115">
      <c r="A8115" s="3" t="s">
        <v>7695</v>
      </c>
      <c r="B8115" s="3" t="s">
        <v>7693</v>
      </c>
      <c r="C8115" s="3" t="s">
        <v>7967</v>
      </c>
      <c r="D8115" s="4" t="str">
        <f t="shared" ref="D8115:D8116" si="789">HYPERLINK("https://12go.asia/en/travel/Yala-Park/Sigiriya", "12Go Link")</f>
        <v>12Go Link</v>
      </c>
      <c r="E8115" s="3" t="s">
        <v>3203</v>
      </c>
      <c r="K8115" s="5"/>
    </row>
    <row r="8116">
      <c r="A8116" s="3" t="s">
        <v>7695</v>
      </c>
      <c r="B8116" s="3" t="s">
        <v>7693</v>
      </c>
      <c r="C8116" s="3" t="s">
        <v>7967</v>
      </c>
      <c r="D8116" s="4" t="str">
        <f t="shared" si="789"/>
        <v>12Go Link</v>
      </c>
      <c r="E8116" s="3" t="s">
        <v>3197</v>
      </c>
      <c r="K8116" s="5"/>
    </row>
    <row r="8117">
      <c r="A8117" s="3" t="s">
        <v>7695</v>
      </c>
      <c r="B8117" s="3" t="s">
        <v>7811</v>
      </c>
      <c r="C8117" s="3" t="s">
        <v>7968</v>
      </c>
      <c r="D8117" s="4" t="str">
        <f t="shared" ref="D8117:D8119" si="790">HYPERLINK("https://12go.asia/en/travel/Tissamaharama/Unawatuna", "12Go Link")</f>
        <v>12Go Link</v>
      </c>
      <c r="E8117" s="3" t="s">
        <v>222</v>
      </c>
      <c r="K8117" s="5"/>
    </row>
    <row r="8118">
      <c r="A8118" s="3" t="s">
        <v>7695</v>
      </c>
      <c r="B8118" s="3" t="s">
        <v>7811</v>
      </c>
      <c r="C8118" s="3" t="s">
        <v>7968</v>
      </c>
      <c r="D8118" s="4" t="str">
        <f t="shared" si="790"/>
        <v>12Go Link</v>
      </c>
      <c r="E8118" s="3" t="s">
        <v>3203</v>
      </c>
      <c r="K8118" s="5"/>
    </row>
    <row r="8119">
      <c r="A8119" s="3" t="s">
        <v>7695</v>
      </c>
      <c r="B8119" s="3" t="s">
        <v>7811</v>
      </c>
      <c r="C8119" s="3" t="s">
        <v>7968</v>
      </c>
      <c r="D8119" s="4" t="str">
        <f t="shared" si="790"/>
        <v>12Go Link</v>
      </c>
      <c r="E8119" s="3" t="s">
        <v>3197</v>
      </c>
      <c r="K8119" s="5"/>
    </row>
    <row r="8120">
      <c r="A8120" s="3" t="s">
        <v>7809</v>
      </c>
      <c r="B8120" s="3" t="s">
        <v>7689</v>
      </c>
      <c r="C8120" s="3" t="s">
        <v>7969</v>
      </c>
      <c r="D8120" s="4" t="str">
        <f t="shared" ref="D8120:D8122" si="791">HYPERLINK("https://12go.asia/en/travel/Udawalawa/Negombo", "12Go Link")</f>
        <v>12Go Link</v>
      </c>
      <c r="E8120" s="3" t="s">
        <v>222</v>
      </c>
      <c r="K8120" s="5"/>
    </row>
    <row r="8121">
      <c r="A8121" s="3" t="s">
        <v>7809</v>
      </c>
      <c r="B8121" s="3" t="s">
        <v>7689</v>
      </c>
      <c r="C8121" s="3" t="s">
        <v>7969</v>
      </c>
      <c r="D8121" s="4" t="str">
        <f t="shared" si="791"/>
        <v>12Go Link</v>
      </c>
      <c r="E8121" s="3" t="s">
        <v>3203</v>
      </c>
      <c r="K8121" s="5"/>
    </row>
    <row r="8122">
      <c r="A8122" s="3" t="s">
        <v>7809</v>
      </c>
      <c r="B8122" s="3" t="s">
        <v>7689</v>
      </c>
      <c r="C8122" s="3" t="s">
        <v>7969</v>
      </c>
      <c r="D8122" s="4" t="str">
        <f t="shared" si="791"/>
        <v>12Go Link</v>
      </c>
      <c r="E8122" s="3" t="s">
        <v>3197</v>
      </c>
      <c r="K8122" s="5"/>
    </row>
    <row r="8123">
      <c r="A8123" s="3" t="s">
        <v>7811</v>
      </c>
      <c r="B8123" s="3" t="s">
        <v>7683</v>
      </c>
      <c r="C8123" s="3" t="s">
        <v>7970</v>
      </c>
      <c r="D8123" s="4" t="str">
        <f t="shared" ref="D8123:D8124" si="792">HYPERLINK("https://12go.asia/en/travel/Unawatuna/Dambulla", "12Go Link")</f>
        <v>12Go Link</v>
      </c>
      <c r="E8123" s="3" t="s">
        <v>3203</v>
      </c>
      <c r="K8123" s="5"/>
    </row>
    <row r="8124">
      <c r="A8124" s="3" t="s">
        <v>7811</v>
      </c>
      <c r="B8124" s="3" t="s">
        <v>7683</v>
      </c>
      <c r="C8124" s="3" t="s">
        <v>7970</v>
      </c>
      <c r="D8124" s="4" t="str">
        <f t="shared" si="792"/>
        <v>12Go Link</v>
      </c>
      <c r="E8124" s="3" t="s">
        <v>3197</v>
      </c>
      <c r="K8124" s="5"/>
    </row>
    <row r="8125">
      <c r="A8125" s="3" t="s">
        <v>7811</v>
      </c>
      <c r="B8125" s="3" t="s">
        <v>7685</v>
      </c>
      <c r="C8125" s="3" t="s">
        <v>7971</v>
      </c>
      <c r="D8125" s="4" t="str">
        <f t="shared" ref="D8125:D8126" si="793">HYPERLINK("https://12go.asia/en/travel/Unawatuna/Ella", "12Go Link")</f>
        <v>12Go Link</v>
      </c>
      <c r="E8125" s="3" t="s">
        <v>3203</v>
      </c>
      <c r="K8125" s="5"/>
    </row>
    <row r="8126">
      <c r="A8126" s="3" t="s">
        <v>7811</v>
      </c>
      <c r="B8126" s="3" t="s">
        <v>7685</v>
      </c>
      <c r="C8126" s="3" t="s">
        <v>7971</v>
      </c>
      <c r="D8126" s="4" t="str">
        <f t="shared" si="793"/>
        <v>12Go Link</v>
      </c>
      <c r="E8126" s="3" t="s">
        <v>3197</v>
      </c>
      <c r="K8126" s="5"/>
    </row>
    <row r="8127">
      <c r="A8127" s="3" t="s">
        <v>7811</v>
      </c>
      <c r="B8127" s="3" t="s">
        <v>7687</v>
      </c>
      <c r="C8127" s="3" t="s">
        <v>7972</v>
      </c>
      <c r="D8127" s="4" t="str">
        <f t="shared" ref="D8127:D8128" si="794">HYPERLINK("https://12go.asia/en/travel/Unawatuna/Kandy", "12Go Link")</f>
        <v>12Go Link</v>
      </c>
      <c r="E8127" s="3" t="s">
        <v>3203</v>
      </c>
      <c r="K8127" s="5"/>
    </row>
    <row r="8128">
      <c r="A8128" s="3" t="s">
        <v>7811</v>
      </c>
      <c r="B8128" s="3" t="s">
        <v>7687</v>
      </c>
      <c r="C8128" s="3" t="s">
        <v>7972</v>
      </c>
      <c r="D8128" s="4" t="str">
        <f t="shared" si="794"/>
        <v>12Go Link</v>
      </c>
      <c r="E8128" s="3" t="s">
        <v>3197</v>
      </c>
      <c r="K8128" s="5"/>
    </row>
    <row r="8129">
      <c r="A8129" s="3" t="s">
        <v>7811</v>
      </c>
      <c r="B8129" s="3" t="s">
        <v>7691</v>
      </c>
      <c r="C8129" s="3" t="s">
        <v>7973</v>
      </c>
      <c r="D8129" s="4" t="str">
        <f t="shared" ref="D8129:D8130" si="795">HYPERLINK("https://12go.asia/en/travel/Unawatuna/Nuwara-Eliya", "12Go Link")</f>
        <v>12Go Link</v>
      </c>
      <c r="E8129" s="3" t="s">
        <v>3203</v>
      </c>
      <c r="K8129" s="5"/>
    </row>
    <row r="8130">
      <c r="A8130" s="3" t="s">
        <v>7811</v>
      </c>
      <c r="B8130" s="3" t="s">
        <v>7691</v>
      </c>
      <c r="C8130" s="3" t="s">
        <v>7973</v>
      </c>
      <c r="D8130" s="4" t="str">
        <f t="shared" si="795"/>
        <v>12Go Link</v>
      </c>
      <c r="E8130" s="3" t="s">
        <v>3197</v>
      </c>
      <c r="K8130" s="5"/>
    </row>
    <row r="8131">
      <c r="A8131" s="3" t="s">
        <v>7811</v>
      </c>
      <c r="B8131" s="3" t="s">
        <v>7693</v>
      </c>
      <c r="C8131" s="3" t="s">
        <v>7974</v>
      </c>
      <c r="D8131" s="4" t="str">
        <f t="shared" ref="D8131:D8132" si="796">HYPERLINK("https://12go.asia/en/travel/Unawatuna/Sigiriya", "12Go Link")</f>
        <v>12Go Link</v>
      </c>
      <c r="E8131" s="3" t="s">
        <v>3203</v>
      </c>
      <c r="K8131" s="5"/>
    </row>
    <row r="8132">
      <c r="A8132" s="3" t="s">
        <v>7811</v>
      </c>
      <c r="B8132" s="3" t="s">
        <v>7693</v>
      </c>
      <c r="C8132" s="3" t="s">
        <v>7974</v>
      </c>
      <c r="D8132" s="4" t="str">
        <f t="shared" si="796"/>
        <v>12Go Link</v>
      </c>
      <c r="E8132" s="3" t="s">
        <v>3197</v>
      </c>
      <c r="K8132" s="5"/>
    </row>
    <row r="8133">
      <c r="A8133" s="3" t="s">
        <v>7811</v>
      </c>
      <c r="B8133" s="3" t="s">
        <v>7695</v>
      </c>
      <c r="C8133" s="3" t="s">
        <v>7975</v>
      </c>
      <c r="D8133" s="4" t="str">
        <f t="shared" ref="D8133:D8134" si="797">HYPERLINK("https://12go.asia/en/travel/Unawatuna/Tissamaharama", "12Go Link")</f>
        <v>12Go Link</v>
      </c>
      <c r="E8133" s="3" t="s">
        <v>3203</v>
      </c>
      <c r="K8133" s="5"/>
    </row>
    <row r="8134">
      <c r="A8134" s="3" t="s">
        <v>7811</v>
      </c>
      <c r="B8134" s="3" t="s">
        <v>7695</v>
      </c>
      <c r="C8134" s="3" t="s">
        <v>7975</v>
      </c>
      <c r="D8134" s="4" t="str">
        <f t="shared" si="797"/>
        <v>12Go Link</v>
      </c>
      <c r="E8134" s="3" t="s">
        <v>3197</v>
      </c>
      <c r="K8134" s="5"/>
    </row>
    <row r="8135">
      <c r="A8135" s="3" t="s">
        <v>7811</v>
      </c>
      <c r="B8135" s="3" t="s">
        <v>7695</v>
      </c>
      <c r="C8135" s="3" t="s">
        <v>7976</v>
      </c>
      <c r="D8135" s="4" t="str">
        <f t="shared" ref="D8135:D8136" si="798">HYPERLINK("https://12go.asia/en/travel/Unawatuna/Yala-Park", "12Go Link")</f>
        <v>12Go Link</v>
      </c>
      <c r="E8135" s="3" t="s">
        <v>3203</v>
      </c>
      <c r="K8135" s="5"/>
    </row>
    <row r="8136">
      <c r="A8136" s="3" t="s">
        <v>7811</v>
      </c>
      <c r="B8136" s="3" t="s">
        <v>7695</v>
      </c>
      <c r="C8136" s="3" t="s">
        <v>7976</v>
      </c>
      <c r="D8136" s="4" t="str">
        <f t="shared" si="798"/>
        <v>12Go Link</v>
      </c>
      <c r="E8136" s="3" t="s">
        <v>3197</v>
      </c>
      <c r="K8136" s="5"/>
    </row>
    <row r="8137">
      <c r="A8137" s="3" t="s">
        <v>7813</v>
      </c>
      <c r="B8137" s="3" t="s">
        <v>7706</v>
      </c>
      <c r="C8137" s="3" t="s">
        <v>7977</v>
      </c>
      <c r="D8137" s="4" t="str">
        <f t="shared" ref="D8137:D8138" si="799">HYPERLINK("https://12go.asia/en/travel/Wadduwa/Colombo", "12Go Link")</f>
        <v>12Go Link</v>
      </c>
      <c r="E8137" s="3" t="s">
        <v>3203</v>
      </c>
      <c r="K8137" s="5"/>
    </row>
    <row r="8138">
      <c r="A8138" s="3" t="s">
        <v>7813</v>
      </c>
      <c r="B8138" s="3" t="s">
        <v>7706</v>
      </c>
      <c r="C8138" s="3" t="s">
        <v>7977</v>
      </c>
      <c r="D8138" s="4" t="str">
        <f t="shared" si="799"/>
        <v>12Go Link</v>
      </c>
      <c r="E8138" s="3" t="s">
        <v>3197</v>
      </c>
      <c r="K8138" s="5"/>
    </row>
    <row r="8139">
      <c r="A8139" s="3" t="s">
        <v>7813</v>
      </c>
      <c r="B8139" s="3" t="s">
        <v>7706</v>
      </c>
      <c r="C8139" s="3" t="s">
        <v>7978</v>
      </c>
      <c r="D8139" s="4" t="str">
        <f t="shared" ref="D8139:D8140" si="800">HYPERLINK("https://12go.asia/en/travel/Waskaduwa/Colombo", "12Go Link")</f>
        <v>12Go Link</v>
      </c>
      <c r="E8139" s="3" t="s">
        <v>3203</v>
      </c>
      <c r="K8139" s="5"/>
    </row>
    <row r="8140">
      <c r="A8140" s="3" t="s">
        <v>7813</v>
      </c>
      <c r="B8140" s="3" t="s">
        <v>7706</v>
      </c>
      <c r="C8140" s="3" t="s">
        <v>7978</v>
      </c>
      <c r="D8140" s="4" t="str">
        <f t="shared" si="800"/>
        <v>12Go Link</v>
      </c>
      <c r="E8140" s="3" t="s">
        <v>3197</v>
      </c>
      <c r="K8140" s="5"/>
    </row>
    <row r="8141">
      <c r="A8141" s="3" t="s">
        <v>7813</v>
      </c>
      <c r="B8141" s="3" t="s">
        <v>7708</v>
      </c>
      <c r="C8141" s="3" t="s">
        <v>7979</v>
      </c>
      <c r="D8141" s="4" t="str">
        <f t="shared" ref="D8141:D8143" si="801">HYPERLINK("https://12go.asia/en/travel/Waskaduwa/Katunayake", "12Go Link")</f>
        <v>12Go Link</v>
      </c>
      <c r="E8141" s="3" t="s">
        <v>222</v>
      </c>
      <c r="K8141" s="5"/>
    </row>
    <row r="8142">
      <c r="A8142" s="3" t="s">
        <v>7813</v>
      </c>
      <c r="B8142" s="3" t="s">
        <v>7708</v>
      </c>
      <c r="C8142" s="3" t="s">
        <v>7979</v>
      </c>
      <c r="D8142" s="4" t="str">
        <f t="shared" si="801"/>
        <v>12Go Link</v>
      </c>
      <c r="E8142" s="3" t="s">
        <v>3203</v>
      </c>
      <c r="K8142" s="5"/>
    </row>
    <row r="8143">
      <c r="A8143" s="3" t="s">
        <v>7813</v>
      </c>
      <c r="B8143" s="3" t="s">
        <v>7708</v>
      </c>
      <c r="C8143" s="3" t="s">
        <v>7979</v>
      </c>
      <c r="D8143" s="4" t="str">
        <f t="shared" si="801"/>
        <v>12Go Link</v>
      </c>
      <c r="E8143" s="3" t="s">
        <v>3197</v>
      </c>
      <c r="K8143" s="5"/>
    </row>
    <row r="8144">
      <c r="A8144" s="3" t="s">
        <v>7813</v>
      </c>
      <c r="B8144" s="3" t="s">
        <v>7683</v>
      </c>
      <c r="C8144" s="3" t="s">
        <v>7980</v>
      </c>
      <c r="D8144" s="4" t="str">
        <f t="shared" ref="D8144:D8145" si="802">HYPERLINK("https://12go.asia/en/travel/Wadduwa/Dambulla", "12Go Link")</f>
        <v>12Go Link</v>
      </c>
      <c r="E8144" s="3" t="s">
        <v>3203</v>
      </c>
      <c r="K8144" s="5"/>
    </row>
    <row r="8145">
      <c r="A8145" s="3" t="s">
        <v>7813</v>
      </c>
      <c r="B8145" s="3" t="s">
        <v>7683</v>
      </c>
      <c r="C8145" s="3" t="s">
        <v>7980</v>
      </c>
      <c r="D8145" s="4" t="str">
        <f t="shared" si="802"/>
        <v>12Go Link</v>
      </c>
      <c r="E8145" s="3" t="s">
        <v>3197</v>
      </c>
      <c r="K8145" s="5"/>
    </row>
    <row r="8146">
      <c r="A8146" s="3" t="s">
        <v>7813</v>
      </c>
      <c r="B8146" s="3" t="s">
        <v>7683</v>
      </c>
      <c r="C8146" s="3" t="s">
        <v>7981</v>
      </c>
      <c r="D8146" s="4" t="str">
        <f t="shared" ref="D8146:D8147" si="803">HYPERLINK("https://12go.asia/en/travel/Waskaduwa/Dambulla", "12Go Link")</f>
        <v>12Go Link</v>
      </c>
      <c r="E8146" s="3" t="s">
        <v>3203</v>
      </c>
      <c r="K8146" s="5"/>
    </row>
    <row r="8147">
      <c r="A8147" s="3" t="s">
        <v>7813</v>
      </c>
      <c r="B8147" s="3" t="s">
        <v>7683</v>
      </c>
      <c r="C8147" s="3" t="s">
        <v>7981</v>
      </c>
      <c r="D8147" s="4" t="str">
        <f t="shared" si="803"/>
        <v>12Go Link</v>
      </c>
      <c r="E8147" s="3" t="s">
        <v>3197</v>
      </c>
      <c r="K8147" s="5"/>
    </row>
    <row r="8148">
      <c r="A8148" s="3" t="s">
        <v>7813</v>
      </c>
      <c r="B8148" s="3" t="s">
        <v>7685</v>
      </c>
      <c r="C8148" s="3" t="s">
        <v>7982</v>
      </c>
      <c r="D8148" s="4" t="str">
        <f t="shared" ref="D8148:D8149" si="804">HYPERLINK("https://12go.asia/en/travel/Wadduwa/Ella", "12Go Link")</f>
        <v>12Go Link</v>
      </c>
      <c r="E8148" s="3" t="s">
        <v>3203</v>
      </c>
      <c r="K8148" s="5"/>
    </row>
    <row r="8149">
      <c r="A8149" s="3" t="s">
        <v>7813</v>
      </c>
      <c r="B8149" s="3" t="s">
        <v>7685</v>
      </c>
      <c r="C8149" s="3" t="s">
        <v>7982</v>
      </c>
      <c r="D8149" s="4" t="str">
        <f t="shared" si="804"/>
        <v>12Go Link</v>
      </c>
      <c r="E8149" s="3" t="s">
        <v>3197</v>
      </c>
      <c r="K8149" s="5"/>
    </row>
    <row r="8150">
      <c r="A8150" s="3" t="s">
        <v>7813</v>
      </c>
      <c r="B8150" s="3" t="s">
        <v>7685</v>
      </c>
      <c r="C8150" s="3" t="s">
        <v>7983</v>
      </c>
      <c r="D8150" s="4" t="str">
        <f t="shared" ref="D8150:D8151" si="805">HYPERLINK("https://12go.asia/en/travel/Waskaduwa/Ella", "12Go Link")</f>
        <v>12Go Link</v>
      </c>
      <c r="E8150" s="3" t="s">
        <v>3203</v>
      </c>
      <c r="K8150" s="5"/>
    </row>
    <row r="8151">
      <c r="A8151" s="3" t="s">
        <v>7813</v>
      </c>
      <c r="B8151" s="3" t="s">
        <v>7685</v>
      </c>
      <c r="C8151" s="3" t="s">
        <v>7983</v>
      </c>
      <c r="D8151" s="4" t="str">
        <f t="shared" si="805"/>
        <v>12Go Link</v>
      </c>
      <c r="E8151" s="3" t="s">
        <v>3197</v>
      </c>
      <c r="K8151" s="5"/>
    </row>
    <row r="8152">
      <c r="A8152" s="3" t="s">
        <v>7813</v>
      </c>
      <c r="B8152" s="3" t="s">
        <v>7687</v>
      </c>
      <c r="C8152" s="3" t="s">
        <v>7984</v>
      </c>
      <c r="D8152" s="4" t="str">
        <f t="shared" ref="D8152:D8153" si="806">HYPERLINK("https://12go.asia/en/travel/Wadduwa/Kandy", "12Go Link")</f>
        <v>12Go Link</v>
      </c>
      <c r="E8152" s="3" t="s">
        <v>3203</v>
      </c>
      <c r="K8152" s="5"/>
    </row>
    <row r="8153">
      <c r="A8153" s="3" t="s">
        <v>7813</v>
      </c>
      <c r="B8153" s="3" t="s">
        <v>7687</v>
      </c>
      <c r="C8153" s="3" t="s">
        <v>7984</v>
      </c>
      <c r="D8153" s="4" t="str">
        <f t="shared" si="806"/>
        <v>12Go Link</v>
      </c>
      <c r="E8153" s="3" t="s">
        <v>3197</v>
      </c>
      <c r="K8153" s="5"/>
    </row>
    <row r="8154">
      <c r="A8154" s="3" t="s">
        <v>7813</v>
      </c>
      <c r="B8154" s="3" t="s">
        <v>7687</v>
      </c>
      <c r="C8154" s="3" t="s">
        <v>7985</v>
      </c>
      <c r="D8154" s="4" t="str">
        <f t="shared" ref="D8154:D8155" si="807">HYPERLINK("https://12go.asia/en/travel/Waskaduwa/Kandy", "12Go Link")</f>
        <v>12Go Link</v>
      </c>
      <c r="E8154" s="3" t="s">
        <v>3203</v>
      </c>
      <c r="K8154" s="5"/>
    </row>
    <row r="8155">
      <c r="A8155" s="3" t="s">
        <v>7813</v>
      </c>
      <c r="B8155" s="3" t="s">
        <v>7687</v>
      </c>
      <c r="C8155" s="3" t="s">
        <v>7985</v>
      </c>
      <c r="D8155" s="4" t="str">
        <f t="shared" si="807"/>
        <v>12Go Link</v>
      </c>
      <c r="E8155" s="3" t="s">
        <v>3197</v>
      </c>
      <c r="K8155" s="5"/>
    </row>
    <row r="8156">
      <c r="A8156" s="3" t="s">
        <v>7813</v>
      </c>
      <c r="B8156" s="3" t="s">
        <v>7689</v>
      </c>
      <c r="C8156" s="3" t="s">
        <v>7986</v>
      </c>
      <c r="D8156" s="4" t="str">
        <f>HYPERLINK("https://12go.asia/en/travel/Wadduwa/Negombo", "12Go Link")</f>
        <v>12Go Link</v>
      </c>
      <c r="E8156" s="3" t="s">
        <v>3197</v>
      </c>
      <c r="K8156" s="5"/>
    </row>
    <row r="8157">
      <c r="A8157" s="3" t="s">
        <v>7813</v>
      </c>
      <c r="B8157" s="3" t="s">
        <v>7689</v>
      </c>
      <c r="C8157" s="3" t="s">
        <v>7987</v>
      </c>
      <c r="D8157" s="4" t="str">
        <f t="shared" ref="D8157:D8158" si="808">HYPERLINK("https://12go.asia/en/travel/Waskaduwa/Negombo", "12Go Link")</f>
        <v>12Go Link</v>
      </c>
      <c r="E8157" s="3" t="s">
        <v>3203</v>
      </c>
      <c r="K8157" s="5"/>
    </row>
    <row r="8158">
      <c r="A8158" s="3" t="s">
        <v>7813</v>
      </c>
      <c r="B8158" s="3" t="s">
        <v>7689</v>
      </c>
      <c r="C8158" s="3" t="s">
        <v>7987</v>
      </c>
      <c r="D8158" s="4" t="str">
        <f t="shared" si="808"/>
        <v>12Go Link</v>
      </c>
      <c r="E8158" s="3" t="s">
        <v>3197</v>
      </c>
      <c r="K8158" s="5"/>
    </row>
    <row r="8159">
      <c r="A8159" s="3" t="s">
        <v>7813</v>
      </c>
      <c r="B8159" s="3" t="s">
        <v>7691</v>
      </c>
      <c r="C8159" s="3" t="s">
        <v>7988</v>
      </c>
      <c r="D8159" s="4" t="str">
        <f t="shared" ref="D8159:D8160" si="809">HYPERLINK("https://12go.asia/en/travel/Wadduwa/Nuwara-Eliya", "12Go Link")</f>
        <v>12Go Link</v>
      </c>
      <c r="E8159" s="3" t="s">
        <v>3203</v>
      </c>
      <c r="K8159" s="5"/>
    </row>
    <row r="8160">
      <c r="A8160" s="3" t="s">
        <v>7813</v>
      </c>
      <c r="B8160" s="3" t="s">
        <v>7691</v>
      </c>
      <c r="C8160" s="3" t="s">
        <v>7988</v>
      </c>
      <c r="D8160" s="4" t="str">
        <f t="shared" si="809"/>
        <v>12Go Link</v>
      </c>
      <c r="E8160" s="3" t="s">
        <v>3197</v>
      </c>
      <c r="K8160" s="5"/>
    </row>
    <row r="8161">
      <c r="A8161" s="3" t="s">
        <v>7813</v>
      </c>
      <c r="B8161" s="3" t="s">
        <v>7691</v>
      </c>
      <c r="C8161" s="3" t="s">
        <v>7989</v>
      </c>
      <c r="D8161" s="4" t="str">
        <f t="shared" ref="D8161:D8162" si="810">HYPERLINK("https://12go.asia/en/travel/Waskaduwa/Nuwara-Eliya", "12Go Link")</f>
        <v>12Go Link</v>
      </c>
      <c r="E8161" s="3" t="s">
        <v>3203</v>
      </c>
      <c r="K8161" s="5"/>
    </row>
    <row r="8162">
      <c r="A8162" s="3" t="s">
        <v>7813</v>
      </c>
      <c r="B8162" s="3" t="s">
        <v>7691</v>
      </c>
      <c r="C8162" s="3" t="s">
        <v>7989</v>
      </c>
      <c r="D8162" s="4" t="str">
        <f t="shared" si="810"/>
        <v>12Go Link</v>
      </c>
      <c r="E8162" s="3" t="s">
        <v>3197</v>
      </c>
      <c r="K8162" s="5"/>
    </row>
    <row r="8163">
      <c r="A8163" s="3" t="s">
        <v>7813</v>
      </c>
      <c r="B8163" s="3" t="s">
        <v>7693</v>
      </c>
      <c r="C8163" s="3" t="s">
        <v>7990</v>
      </c>
      <c r="D8163" s="4" t="str">
        <f t="shared" ref="D8163:D8164" si="811">HYPERLINK("https://12go.asia/en/travel/Wadduwa/Sigiriya", "12Go Link")</f>
        <v>12Go Link</v>
      </c>
      <c r="E8163" s="3" t="s">
        <v>3203</v>
      </c>
      <c r="K8163" s="5"/>
    </row>
    <row r="8164">
      <c r="A8164" s="3" t="s">
        <v>7813</v>
      </c>
      <c r="B8164" s="3" t="s">
        <v>7693</v>
      </c>
      <c r="C8164" s="3" t="s">
        <v>7990</v>
      </c>
      <c r="D8164" s="4" t="str">
        <f t="shared" si="811"/>
        <v>12Go Link</v>
      </c>
      <c r="E8164" s="3" t="s">
        <v>3197</v>
      </c>
      <c r="K8164" s="5"/>
    </row>
    <row r="8165">
      <c r="A8165" s="3" t="s">
        <v>7813</v>
      </c>
      <c r="B8165" s="3" t="s">
        <v>7693</v>
      </c>
      <c r="C8165" s="3" t="s">
        <v>7991</v>
      </c>
      <c r="D8165" s="4" t="str">
        <f t="shared" ref="D8165:D8166" si="812">HYPERLINK("https://12go.asia/en/travel/Waskaduwa/Sigiriya", "12Go Link")</f>
        <v>12Go Link</v>
      </c>
      <c r="E8165" s="3" t="s">
        <v>3203</v>
      </c>
      <c r="K8165" s="5"/>
    </row>
    <row r="8166">
      <c r="A8166" s="3" t="s">
        <v>7813</v>
      </c>
      <c r="B8166" s="3" t="s">
        <v>7693</v>
      </c>
      <c r="C8166" s="3" t="s">
        <v>7991</v>
      </c>
      <c r="D8166" s="4" t="str">
        <f t="shared" si="812"/>
        <v>12Go Link</v>
      </c>
      <c r="E8166" s="3" t="s">
        <v>3197</v>
      </c>
      <c r="K8166" s="5"/>
    </row>
    <row r="8167">
      <c r="A8167" s="3" t="s">
        <v>7813</v>
      </c>
      <c r="B8167" s="3" t="s">
        <v>7695</v>
      </c>
      <c r="C8167" s="3" t="s">
        <v>7992</v>
      </c>
      <c r="D8167" s="4" t="str">
        <f t="shared" ref="D8167:D8168" si="813">HYPERLINK("https://12go.asia/en/travel/Wadduwa/Tissamaharama", "12Go Link")</f>
        <v>12Go Link</v>
      </c>
      <c r="E8167" s="3" t="s">
        <v>3203</v>
      </c>
      <c r="K8167" s="5"/>
    </row>
    <row r="8168">
      <c r="A8168" s="3" t="s">
        <v>7813</v>
      </c>
      <c r="B8168" s="3" t="s">
        <v>7695</v>
      </c>
      <c r="C8168" s="3" t="s">
        <v>7992</v>
      </c>
      <c r="D8168" s="4" t="str">
        <f t="shared" si="813"/>
        <v>12Go Link</v>
      </c>
      <c r="E8168" s="3" t="s">
        <v>3197</v>
      </c>
      <c r="K8168" s="5"/>
    </row>
    <row r="8169">
      <c r="A8169" s="3" t="s">
        <v>7813</v>
      </c>
      <c r="B8169" s="3" t="s">
        <v>7695</v>
      </c>
      <c r="C8169" s="3" t="s">
        <v>7993</v>
      </c>
      <c r="D8169" s="4" t="str">
        <f t="shared" ref="D8169:D8170" si="814">HYPERLINK("https://12go.asia/en/travel/Wadduwa/Yala-Park", "12Go Link")</f>
        <v>12Go Link</v>
      </c>
      <c r="E8169" s="3" t="s">
        <v>3203</v>
      </c>
      <c r="K8169" s="5"/>
    </row>
    <row r="8170">
      <c r="A8170" s="3" t="s">
        <v>7813</v>
      </c>
      <c r="B8170" s="3" t="s">
        <v>7695</v>
      </c>
      <c r="C8170" s="3" t="s">
        <v>7993</v>
      </c>
      <c r="D8170" s="4" t="str">
        <f t="shared" si="814"/>
        <v>12Go Link</v>
      </c>
      <c r="E8170" s="3" t="s">
        <v>3197</v>
      </c>
      <c r="K8170" s="5"/>
    </row>
    <row r="8171">
      <c r="A8171" s="3" t="s">
        <v>7813</v>
      </c>
      <c r="B8171" s="3" t="s">
        <v>7695</v>
      </c>
      <c r="C8171" s="3" t="s">
        <v>7994</v>
      </c>
      <c r="D8171" s="4" t="str">
        <f t="shared" ref="D8171:D8172" si="815">HYPERLINK("https://12go.asia/en/travel/Waskaduwa/Tissamaharama", "12Go Link")</f>
        <v>12Go Link</v>
      </c>
      <c r="E8171" s="3" t="s">
        <v>3203</v>
      </c>
      <c r="K8171" s="5"/>
    </row>
    <row r="8172">
      <c r="A8172" s="3" t="s">
        <v>7813</v>
      </c>
      <c r="B8172" s="3" t="s">
        <v>7695</v>
      </c>
      <c r="C8172" s="3" t="s">
        <v>7994</v>
      </c>
      <c r="D8172" s="4" t="str">
        <f t="shared" si="815"/>
        <v>12Go Link</v>
      </c>
      <c r="E8172" s="3" t="s">
        <v>3197</v>
      </c>
      <c r="K8172" s="5"/>
    </row>
    <row r="8173">
      <c r="A8173" s="3" t="s">
        <v>7813</v>
      </c>
      <c r="B8173" s="3" t="s">
        <v>7695</v>
      </c>
      <c r="C8173" s="3" t="s">
        <v>7995</v>
      </c>
      <c r="D8173" s="4" t="str">
        <f t="shared" ref="D8173:D8174" si="816">HYPERLINK("https://12go.asia/en/travel/Waskaduwa/Yala-Park", "12Go Link")</f>
        <v>12Go Link</v>
      </c>
      <c r="E8173" s="3" t="s">
        <v>3203</v>
      </c>
      <c r="K8173" s="5"/>
    </row>
    <row r="8174">
      <c r="A8174" s="3" t="s">
        <v>7813</v>
      </c>
      <c r="B8174" s="3" t="s">
        <v>7695</v>
      </c>
      <c r="C8174" s="3" t="s">
        <v>7995</v>
      </c>
      <c r="D8174" s="4" t="str">
        <f t="shared" si="816"/>
        <v>12Go Link</v>
      </c>
      <c r="E8174" s="3" t="s">
        <v>3197</v>
      </c>
      <c r="K8174" s="5"/>
    </row>
    <row r="8175">
      <c r="A8175" s="3" t="s">
        <v>7996</v>
      </c>
      <c r="B8175" s="3" t="s">
        <v>7200</v>
      </c>
      <c r="C8175" s="3" t="s">
        <v>7997</v>
      </c>
      <c r="D8175" s="4" t="str">
        <f>HYPERLINK("https://12go.asia/en/travel/changhua/new-taipei", "12Go Link")</f>
        <v>12Go Link</v>
      </c>
      <c r="E8175" s="3" t="s">
        <v>94</v>
      </c>
      <c r="K8175" s="5"/>
    </row>
    <row r="8176">
      <c r="A8176" s="3" t="s">
        <v>7998</v>
      </c>
      <c r="B8176" s="3" t="s">
        <v>7200</v>
      </c>
      <c r="C8176" s="3" t="s">
        <v>7999</v>
      </c>
      <c r="D8176" s="4" t="str">
        <f>HYPERLINK("https://12go.asia/en/travel/tainan/new-taipei", "12Go Link")</f>
        <v>12Go Link</v>
      </c>
      <c r="E8176" s="3" t="s">
        <v>94</v>
      </c>
      <c r="K8176" s="5"/>
    </row>
    <row r="8177">
      <c r="A8177" s="3" t="s">
        <v>8000</v>
      </c>
      <c r="B8177" s="3" t="s">
        <v>8001</v>
      </c>
      <c r="C8177" s="3" t="s">
        <v>8002</v>
      </c>
      <c r="D8177" s="4" t="str">
        <f>HYPERLINK("https://12go.asia/en/travel/yuanlin/taichung", "12Go Link")</f>
        <v>12Go Link</v>
      </c>
      <c r="E8177" s="3" t="s">
        <v>94</v>
      </c>
      <c r="K8177" s="5"/>
    </row>
    <row r="8178">
      <c r="A8178" s="3" t="s">
        <v>8000</v>
      </c>
      <c r="B8178" s="3" t="s">
        <v>7212</v>
      </c>
      <c r="C8178" s="3" t="s">
        <v>8003</v>
      </c>
      <c r="D8178" s="4" t="str">
        <f>HYPERLINK("https://12go.asia/en/travel/yuanlin/zhubei", "12Go Link")</f>
        <v>12Go Link</v>
      </c>
      <c r="E8178" s="3" t="s">
        <v>94</v>
      </c>
      <c r="K8178" s="5"/>
    </row>
    <row r="8179">
      <c r="A8179" s="3" t="s">
        <v>8004</v>
      </c>
      <c r="B8179" s="3" t="s">
        <v>7200</v>
      </c>
      <c r="C8179" s="3" t="s">
        <v>8005</v>
      </c>
      <c r="D8179" s="4" t="str">
        <f>HYPERLINK("https://12go.asia/en/travel/yunlin/new-taipei", "12Go Link")</f>
        <v>12Go Link</v>
      </c>
      <c r="E8179" s="3" t="s">
        <v>94</v>
      </c>
      <c r="K8179" s="5"/>
    </row>
    <row r="8180">
      <c r="A8180" s="3" t="s">
        <v>8006</v>
      </c>
      <c r="B8180" s="3" t="s">
        <v>5932</v>
      </c>
      <c r="C8180" s="3" t="s">
        <v>8007</v>
      </c>
      <c r="D8180" s="4" t="str">
        <f>HYPERLINK("https://12go.asia/en/travel/zanzibar-airport/dubai-international-airport", "12Go Link")</f>
        <v>12Go Link</v>
      </c>
      <c r="E8180" s="3" t="s">
        <v>3568</v>
      </c>
      <c r="K8180" s="5"/>
    </row>
    <row r="8181">
      <c r="A8181" s="3" t="s">
        <v>8008</v>
      </c>
      <c r="B8181" s="3" t="s">
        <v>238</v>
      </c>
      <c r="C8181" s="3" t="s">
        <v>8009</v>
      </c>
      <c r="D8181" s="4" t="str">
        <f t="shared" ref="D8181:D8184" si="817">HYPERLINK("https://12go.asia/en/travel/Ao-Nang-Transfer/Bangkok-Transfer", "12Go Link")</f>
        <v>12Go Link</v>
      </c>
      <c r="E8181" s="3" t="s">
        <v>222</v>
      </c>
      <c r="K8181" s="5"/>
    </row>
    <row r="8182">
      <c r="A8182" s="3" t="s">
        <v>8008</v>
      </c>
      <c r="B8182" s="3" t="s">
        <v>238</v>
      </c>
      <c r="C8182" s="3" t="s">
        <v>8009</v>
      </c>
      <c r="D8182" s="4" t="str">
        <f t="shared" si="817"/>
        <v>12Go Link</v>
      </c>
      <c r="E8182" s="3" t="s">
        <v>223</v>
      </c>
      <c r="K8182" s="5"/>
    </row>
    <row r="8183">
      <c r="A8183" s="3" t="s">
        <v>8008</v>
      </c>
      <c r="B8183" s="3" t="s">
        <v>238</v>
      </c>
      <c r="C8183" s="3" t="s">
        <v>8009</v>
      </c>
      <c r="D8183" s="4" t="str">
        <f t="shared" si="817"/>
        <v>12Go Link</v>
      </c>
      <c r="E8183" s="3" t="s">
        <v>6599</v>
      </c>
      <c r="K8183" s="5"/>
    </row>
    <row r="8184">
      <c r="A8184" s="3" t="s">
        <v>8008</v>
      </c>
      <c r="B8184" s="3" t="s">
        <v>238</v>
      </c>
      <c r="C8184" s="3" t="s">
        <v>8009</v>
      </c>
      <c r="D8184" s="4" t="str">
        <f t="shared" si="817"/>
        <v>12Go Link</v>
      </c>
      <c r="E8184" s="3" t="s">
        <v>3197</v>
      </c>
      <c r="K8184" s="5"/>
    </row>
    <row r="8185">
      <c r="A8185" s="3" t="s">
        <v>8008</v>
      </c>
      <c r="B8185" s="3" t="s">
        <v>8010</v>
      </c>
      <c r="C8185" s="3" t="s">
        <v>8011</v>
      </c>
      <c r="D8185" s="4" t="str">
        <f>HYPERLINK("https://12go.asia/en/travel/Ao-Nang/Koh-Lipe-Walking-Street", "12Go Link")</f>
        <v>12Go Link</v>
      </c>
      <c r="E8185" s="3" t="s">
        <v>8012</v>
      </c>
      <c r="K8185" s="5"/>
    </row>
    <row r="8186">
      <c r="A8186" s="3" t="s">
        <v>8008</v>
      </c>
      <c r="B8186" s="3" t="s">
        <v>8013</v>
      </c>
      <c r="C8186" s="3" t="s">
        <v>8014</v>
      </c>
      <c r="D8186" s="4" t="str">
        <f>HYPERLINK("https://12go.asia/en/travel/Ao-Nang-McDonalds/Thong-Sala-Koh-Phangan", "12Go Link")</f>
        <v>12Go Link</v>
      </c>
      <c r="E8186" s="3" t="s">
        <v>8015</v>
      </c>
      <c r="K8186" s="5"/>
    </row>
    <row r="8187">
      <c r="A8187" s="3" t="s">
        <v>8008</v>
      </c>
      <c r="B8187" s="3" t="s">
        <v>8016</v>
      </c>
      <c r="C8187" s="3" t="s">
        <v>8017</v>
      </c>
      <c r="D8187" s="4" t="str">
        <f>HYPERLINK("https://12go.asia/en/travel/Ao-Nang-McDonalds/Na-Thon-Seatran-Ferry-Pier", "12Go Link")</f>
        <v>12Go Link</v>
      </c>
      <c r="E8187" s="3" t="s">
        <v>8015</v>
      </c>
      <c r="K8187" s="5"/>
    </row>
    <row r="8188">
      <c r="A8188" s="3" t="s">
        <v>8008</v>
      </c>
      <c r="B8188" s="3" t="s">
        <v>8018</v>
      </c>
      <c r="C8188" s="3" t="s">
        <v>8019</v>
      </c>
      <c r="D8188" s="4" t="str">
        <f>HYPERLINK("https://12go.asia/en/travel/Ao-Nang/Krabi-Town", "12Go Link")</f>
        <v>12Go Link</v>
      </c>
      <c r="E8188" s="3" t="s">
        <v>8012</v>
      </c>
      <c r="K8188" s="5"/>
    </row>
    <row r="8189">
      <c r="A8189" s="3" t="s">
        <v>8008</v>
      </c>
      <c r="B8189" s="3" t="s">
        <v>8020</v>
      </c>
      <c r="C8189" s="3" t="s">
        <v>8021</v>
      </c>
      <c r="D8189" s="4" t="str">
        <f t="shared" ref="D8189:D8192" si="818">HYPERLINK("https://12go.asia/en/travel/Ao-Nang-Transfer-except-Krabi-Town-and-Railay/Phuket-Airport", "12Go Link")</f>
        <v>12Go Link</v>
      </c>
      <c r="E8189" s="3" t="s">
        <v>222</v>
      </c>
      <c r="K8189" s="5"/>
    </row>
    <row r="8190">
      <c r="A8190" s="3" t="s">
        <v>8008</v>
      </c>
      <c r="B8190" s="3" t="s">
        <v>8020</v>
      </c>
      <c r="C8190" s="3" t="s">
        <v>8021</v>
      </c>
      <c r="D8190" s="4" t="str">
        <f t="shared" si="818"/>
        <v>12Go Link</v>
      </c>
      <c r="E8190" s="3" t="s">
        <v>223</v>
      </c>
      <c r="K8190" s="5"/>
    </row>
    <row r="8191">
      <c r="A8191" s="3" t="s">
        <v>8008</v>
      </c>
      <c r="B8191" s="3" t="s">
        <v>8020</v>
      </c>
      <c r="C8191" s="3" t="s">
        <v>8021</v>
      </c>
      <c r="D8191" s="4" t="str">
        <f t="shared" si="818"/>
        <v>12Go Link</v>
      </c>
      <c r="E8191" s="3" t="s">
        <v>6599</v>
      </c>
      <c r="K8191" s="5"/>
    </row>
    <row r="8192">
      <c r="A8192" s="3" t="s">
        <v>8008</v>
      </c>
      <c r="B8192" s="3" t="s">
        <v>8020</v>
      </c>
      <c r="C8192" s="3" t="s">
        <v>8021</v>
      </c>
      <c r="D8192" s="4" t="str">
        <f t="shared" si="818"/>
        <v>12Go Link</v>
      </c>
      <c r="E8192" s="3" t="s">
        <v>3197</v>
      </c>
      <c r="K8192" s="5"/>
    </row>
    <row r="8193">
      <c r="A8193" s="3" t="s">
        <v>8008</v>
      </c>
      <c r="B8193" s="3" t="s">
        <v>8020</v>
      </c>
      <c r="C8193" s="3" t="s">
        <v>8022</v>
      </c>
      <c r="D8193" s="4" t="str">
        <f t="shared" ref="D8193:D8196" si="819">HYPERLINK("https://12go.asia/en/travel/Ao-Nang-Transfer-except-Krabi-Town-and-Railay/Phuket-Hotel-Transfer", "12Go Link")</f>
        <v>12Go Link</v>
      </c>
      <c r="E8193" s="3" t="s">
        <v>222</v>
      </c>
      <c r="K8193" s="5"/>
    </row>
    <row r="8194">
      <c r="A8194" s="3" t="s">
        <v>8008</v>
      </c>
      <c r="B8194" s="3" t="s">
        <v>8020</v>
      </c>
      <c r="C8194" s="3" t="s">
        <v>8022</v>
      </c>
      <c r="D8194" s="4" t="str">
        <f t="shared" si="819"/>
        <v>12Go Link</v>
      </c>
      <c r="E8194" s="3" t="s">
        <v>223</v>
      </c>
      <c r="K8194" s="5"/>
    </row>
    <row r="8195">
      <c r="A8195" s="3" t="s">
        <v>8008</v>
      </c>
      <c r="B8195" s="3" t="s">
        <v>8020</v>
      </c>
      <c r="C8195" s="3" t="s">
        <v>8022</v>
      </c>
      <c r="D8195" s="4" t="str">
        <f t="shared" si="819"/>
        <v>12Go Link</v>
      </c>
      <c r="E8195" s="3" t="s">
        <v>6599</v>
      </c>
      <c r="K8195" s="5"/>
    </row>
    <row r="8196">
      <c r="A8196" s="3" t="s">
        <v>8008</v>
      </c>
      <c r="B8196" s="3" t="s">
        <v>8020</v>
      </c>
      <c r="C8196" s="3" t="s">
        <v>8022</v>
      </c>
      <c r="D8196" s="4" t="str">
        <f t="shared" si="819"/>
        <v>12Go Link</v>
      </c>
      <c r="E8196" s="3" t="s">
        <v>3197</v>
      </c>
      <c r="K8196" s="5"/>
    </row>
    <row r="8197">
      <c r="A8197" s="3" t="s">
        <v>8008</v>
      </c>
      <c r="B8197" s="3" t="s">
        <v>8023</v>
      </c>
      <c r="C8197" s="3" t="s">
        <v>8024</v>
      </c>
      <c r="D8197" s="4" t="str">
        <f>HYPERLINK("https://12go.asia/en/travel/Ao-Nang/Koh-Bulone-School-Beach", "12Go Link")</f>
        <v>12Go Link</v>
      </c>
      <c r="E8197" s="3" t="s">
        <v>8012</v>
      </c>
      <c r="K8197" s="5"/>
    </row>
    <row r="8198">
      <c r="A8198" s="3" t="s">
        <v>8008</v>
      </c>
      <c r="B8198" s="3" t="s">
        <v>8025</v>
      </c>
      <c r="C8198" s="3" t="s">
        <v>8026</v>
      </c>
      <c r="D8198" s="4" t="str">
        <f>HYPERLINK("https://12go.asia/en/travel/Ao-Nang-McDonalds/Surat-Thani-Town", "12Go Link")</f>
        <v>12Go Link</v>
      </c>
      <c r="E8198" s="3" t="s">
        <v>8027</v>
      </c>
      <c r="K8198" s="5"/>
    </row>
    <row r="8199">
      <c r="A8199" s="3" t="s">
        <v>8008</v>
      </c>
      <c r="B8199" s="3" t="s">
        <v>8028</v>
      </c>
      <c r="C8199" s="3" t="s">
        <v>8029</v>
      </c>
      <c r="D8199" s="4" t="str">
        <f t="shared" ref="D8199:D8202" si="820">HYPERLINK("https://12go.asia/en/travel/Ao-Nang-Transfer/Suvarnabhumi-Airport", "12Go Link")</f>
        <v>12Go Link</v>
      </c>
      <c r="E8199" s="3" t="s">
        <v>222</v>
      </c>
      <c r="K8199" s="5"/>
    </row>
    <row r="8200">
      <c r="A8200" s="3" t="s">
        <v>8008</v>
      </c>
      <c r="B8200" s="3" t="s">
        <v>8028</v>
      </c>
      <c r="C8200" s="3" t="s">
        <v>8029</v>
      </c>
      <c r="D8200" s="4" t="str">
        <f t="shared" si="820"/>
        <v>12Go Link</v>
      </c>
      <c r="E8200" s="3" t="s">
        <v>223</v>
      </c>
      <c r="K8200" s="5"/>
    </row>
    <row r="8201">
      <c r="A8201" s="3" t="s">
        <v>8008</v>
      </c>
      <c r="B8201" s="3" t="s">
        <v>8028</v>
      </c>
      <c r="C8201" s="3" t="s">
        <v>8029</v>
      </c>
      <c r="D8201" s="4" t="str">
        <f t="shared" si="820"/>
        <v>12Go Link</v>
      </c>
      <c r="E8201" s="3" t="s">
        <v>6599</v>
      </c>
      <c r="K8201" s="5"/>
    </row>
    <row r="8202">
      <c r="A8202" s="3" t="s">
        <v>8008</v>
      </c>
      <c r="B8202" s="3" t="s">
        <v>8028</v>
      </c>
      <c r="C8202" s="3" t="s">
        <v>8029</v>
      </c>
      <c r="D8202" s="4" t="str">
        <f t="shared" si="820"/>
        <v>12Go Link</v>
      </c>
      <c r="E8202" s="3" t="s">
        <v>3197</v>
      </c>
      <c r="K8202" s="5"/>
    </row>
    <row r="8203">
      <c r="A8203" s="3" t="s">
        <v>8030</v>
      </c>
      <c r="B8203" s="3" t="s">
        <v>3566</v>
      </c>
      <c r="C8203" s="3" t="s">
        <v>8031</v>
      </c>
      <c r="D8203" s="4" t="str">
        <f>HYPERLINK("https://12go.asia/en/travel/ao-phang-nga-national-park/bandar-sunway", "12Go Link")</f>
        <v>12Go Link</v>
      </c>
      <c r="E8203" s="3" t="s">
        <v>3568</v>
      </c>
      <c r="K8203" s="5"/>
    </row>
    <row r="8204">
      <c r="A8204" s="3" t="s">
        <v>8030</v>
      </c>
      <c r="B8204" s="3" t="s">
        <v>8032</v>
      </c>
      <c r="C8204" s="3" t="s">
        <v>8033</v>
      </c>
      <c r="D8204" s="4" t="str">
        <f>HYPERLINK("https://12go.asia/en/travel/ao-phang-nga-national-park/ban-phe-pier", "12Go Link")</f>
        <v>12Go Link</v>
      </c>
      <c r="E8204" s="3" t="s">
        <v>3568</v>
      </c>
      <c r="K8204" s="5"/>
    </row>
    <row r="8205">
      <c r="A8205" s="3" t="s">
        <v>8030</v>
      </c>
      <c r="B8205" s="3" t="s">
        <v>7475</v>
      </c>
      <c r="C8205" s="3" t="s">
        <v>8034</v>
      </c>
      <c r="D8205" s="4" t="str">
        <f>HYPERLINK("https://12go.asia/en/travel/ao-phang-nga-national-park/hat-yai", "12Go Link")</f>
        <v>12Go Link</v>
      </c>
      <c r="E8205" s="3" t="s">
        <v>3568</v>
      </c>
      <c r="K8205" s="5"/>
    </row>
    <row r="8206">
      <c r="A8206" s="3" t="s">
        <v>8035</v>
      </c>
      <c r="B8206" s="3" t="s">
        <v>238</v>
      </c>
      <c r="C8206" s="3" t="s">
        <v>8036</v>
      </c>
      <c r="D8206" s="4" t="str">
        <f t="shared" ref="D8206:D8209" si="821">HYPERLINK("https://12go.asia/en/travel/Ayutthaya-Hotel-Transfer/Bangkok-Transfer", "12Go Link")</f>
        <v>12Go Link</v>
      </c>
      <c r="E8206" s="3" t="s">
        <v>222</v>
      </c>
      <c r="K8206" s="5"/>
    </row>
    <row r="8207">
      <c r="A8207" s="3" t="s">
        <v>8035</v>
      </c>
      <c r="B8207" s="3" t="s">
        <v>238</v>
      </c>
      <c r="C8207" s="3" t="s">
        <v>8036</v>
      </c>
      <c r="D8207" s="4" t="str">
        <f t="shared" si="821"/>
        <v>12Go Link</v>
      </c>
      <c r="E8207" s="3" t="s">
        <v>223</v>
      </c>
      <c r="K8207" s="5"/>
    </row>
    <row r="8208">
      <c r="A8208" s="3" t="s">
        <v>8035</v>
      </c>
      <c r="B8208" s="3" t="s">
        <v>238</v>
      </c>
      <c r="C8208" s="3" t="s">
        <v>8036</v>
      </c>
      <c r="D8208" s="4" t="str">
        <f t="shared" si="821"/>
        <v>12Go Link</v>
      </c>
      <c r="E8208" s="3" t="s">
        <v>6599</v>
      </c>
      <c r="K8208" s="5"/>
    </row>
    <row r="8209">
      <c r="A8209" s="3" t="s">
        <v>8035</v>
      </c>
      <c r="B8209" s="3" t="s">
        <v>238</v>
      </c>
      <c r="C8209" s="3" t="s">
        <v>8036</v>
      </c>
      <c r="D8209" s="4" t="str">
        <f t="shared" si="821"/>
        <v>12Go Link</v>
      </c>
      <c r="E8209" s="3" t="s">
        <v>3197</v>
      </c>
      <c r="K8209" s="5"/>
    </row>
    <row r="8210">
      <c r="A8210" s="3" t="s">
        <v>8035</v>
      </c>
      <c r="B8210" s="3" t="s">
        <v>8037</v>
      </c>
      <c r="C8210" s="3" t="s">
        <v>8038</v>
      </c>
      <c r="D8210" s="4" t="str">
        <f>HYPERLINK("https://12go.asia/en/travel/ayutthaya/roi-et", "12Go Link")</f>
        <v>12Go Link</v>
      </c>
      <c r="E8210" s="3" t="s">
        <v>8</v>
      </c>
      <c r="K8210" s="5"/>
    </row>
    <row r="8211">
      <c r="A8211" s="3" t="s">
        <v>8035</v>
      </c>
      <c r="B8211" s="3" t="s">
        <v>8028</v>
      </c>
      <c r="C8211" s="3" t="s">
        <v>8039</v>
      </c>
      <c r="D8211" s="4" t="str">
        <f t="shared" ref="D8211:D8214" si="822">HYPERLINK("https://12go.asia/en/travel/Ayutthaya-Hotel-Transfer/Suvarnabhumi-Airport", "12Go Link")</f>
        <v>12Go Link</v>
      </c>
      <c r="E8211" s="3" t="s">
        <v>222</v>
      </c>
      <c r="K8211" s="5"/>
    </row>
    <row r="8212">
      <c r="A8212" s="3" t="s">
        <v>8035</v>
      </c>
      <c r="B8212" s="3" t="s">
        <v>8028</v>
      </c>
      <c r="C8212" s="3" t="s">
        <v>8039</v>
      </c>
      <c r="D8212" s="4" t="str">
        <f t="shared" si="822"/>
        <v>12Go Link</v>
      </c>
      <c r="E8212" s="3" t="s">
        <v>223</v>
      </c>
      <c r="K8212" s="5"/>
    </row>
    <row r="8213">
      <c r="A8213" s="3" t="s">
        <v>8035</v>
      </c>
      <c r="B8213" s="3" t="s">
        <v>8028</v>
      </c>
      <c r="C8213" s="3" t="s">
        <v>8039</v>
      </c>
      <c r="D8213" s="4" t="str">
        <f t="shared" si="822"/>
        <v>12Go Link</v>
      </c>
      <c r="E8213" s="3" t="s">
        <v>6599</v>
      </c>
      <c r="K8213" s="5"/>
    </row>
    <row r="8214">
      <c r="A8214" s="3" t="s">
        <v>8035</v>
      </c>
      <c r="B8214" s="3" t="s">
        <v>8028</v>
      </c>
      <c r="C8214" s="3" t="s">
        <v>8039</v>
      </c>
      <c r="D8214" s="4" t="str">
        <f t="shared" si="822"/>
        <v>12Go Link</v>
      </c>
      <c r="E8214" s="3" t="s">
        <v>3197</v>
      </c>
      <c r="K8214" s="5"/>
    </row>
    <row r="8215">
      <c r="A8215" s="3" t="s">
        <v>238</v>
      </c>
      <c r="B8215" s="3" t="s">
        <v>276</v>
      </c>
      <c r="C8215" s="3" t="s">
        <v>8040</v>
      </c>
      <c r="D8215" s="4" t="str">
        <f>HYPERLINK("https://12go.asia/en/travel/Bangkok-Em-Samang/Siem-Reap", "12Go Link")</f>
        <v>12Go Link</v>
      </c>
      <c r="E8215" s="3" t="s">
        <v>346</v>
      </c>
      <c r="K8215" s="5"/>
    </row>
    <row r="8216">
      <c r="A8216" s="3" t="s">
        <v>238</v>
      </c>
      <c r="B8216" s="3" t="s">
        <v>8008</v>
      </c>
      <c r="C8216" s="3" t="s">
        <v>8041</v>
      </c>
      <c r="D8216" s="4" t="str">
        <f t="shared" ref="D8216:D8219" si="823">HYPERLINK("https://12go.asia/en/travel/Bangkok-Transfer/Ao-Nang-Transfer", "12Go Link")</f>
        <v>12Go Link</v>
      </c>
      <c r="E8216" s="3" t="s">
        <v>222</v>
      </c>
      <c r="K8216" s="5"/>
    </row>
    <row r="8217">
      <c r="A8217" s="3" t="s">
        <v>238</v>
      </c>
      <c r="B8217" s="3" t="s">
        <v>8008</v>
      </c>
      <c r="C8217" s="3" t="s">
        <v>8041</v>
      </c>
      <c r="D8217" s="4" t="str">
        <f t="shared" si="823"/>
        <v>12Go Link</v>
      </c>
      <c r="E8217" s="3" t="s">
        <v>223</v>
      </c>
      <c r="K8217" s="5"/>
    </row>
    <row r="8218">
      <c r="A8218" s="3" t="s">
        <v>238</v>
      </c>
      <c r="B8218" s="3" t="s">
        <v>8008</v>
      </c>
      <c r="C8218" s="3" t="s">
        <v>8041</v>
      </c>
      <c r="D8218" s="4" t="str">
        <f t="shared" si="823"/>
        <v>12Go Link</v>
      </c>
      <c r="E8218" s="3" t="s">
        <v>6599</v>
      </c>
      <c r="K8218" s="5"/>
    </row>
    <row r="8219">
      <c r="A8219" s="3" t="s">
        <v>238</v>
      </c>
      <c r="B8219" s="3" t="s">
        <v>8008</v>
      </c>
      <c r="C8219" s="3" t="s">
        <v>8041</v>
      </c>
      <c r="D8219" s="4" t="str">
        <f t="shared" si="823"/>
        <v>12Go Link</v>
      </c>
      <c r="E8219" s="3" t="s">
        <v>3197</v>
      </c>
      <c r="K8219" s="5"/>
    </row>
    <row r="8220">
      <c r="A8220" s="3" t="s">
        <v>238</v>
      </c>
      <c r="B8220" s="3" t="s">
        <v>8035</v>
      </c>
      <c r="C8220" s="3" t="s">
        <v>8042</v>
      </c>
      <c r="D8220" s="4" t="str">
        <f t="shared" ref="D8220:D8223" si="824">HYPERLINK("https://12go.asia/en/travel/Bangkok-Transfer/Ayutthaya-Hotel-Transfer", "12Go Link")</f>
        <v>12Go Link</v>
      </c>
      <c r="E8220" s="3" t="s">
        <v>222</v>
      </c>
      <c r="K8220" s="5"/>
    </row>
    <row r="8221">
      <c r="A8221" s="3" t="s">
        <v>238</v>
      </c>
      <c r="B8221" s="3" t="s">
        <v>8035</v>
      </c>
      <c r="C8221" s="3" t="s">
        <v>8042</v>
      </c>
      <c r="D8221" s="4" t="str">
        <f t="shared" si="824"/>
        <v>12Go Link</v>
      </c>
      <c r="E8221" s="3" t="s">
        <v>223</v>
      </c>
      <c r="K8221" s="5"/>
    </row>
    <row r="8222">
      <c r="A8222" s="3" t="s">
        <v>238</v>
      </c>
      <c r="B8222" s="3" t="s">
        <v>8035</v>
      </c>
      <c r="C8222" s="3" t="s">
        <v>8042</v>
      </c>
      <c r="D8222" s="4" t="str">
        <f t="shared" si="824"/>
        <v>12Go Link</v>
      </c>
      <c r="E8222" s="3" t="s">
        <v>6599</v>
      </c>
      <c r="K8222" s="5"/>
    </row>
    <row r="8223">
      <c r="A8223" s="3" t="s">
        <v>238</v>
      </c>
      <c r="B8223" s="3" t="s">
        <v>8035</v>
      </c>
      <c r="C8223" s="3" t="s">
        <v>8042</v>
      </c>
      <c r="D8223" s="4" t="str">
        <f t="shared" si="824"/>
        <v>12Go Link</v>
      </c>
      <c r="E8223" s="3" t="s">
        <v>3197</v>
      </c>
      <c r="K8223" s="5"/>
    </row>
    <row r="8224">
      <c r="A8224" s="3" t="s">
        <v>238</v>
      </c>
      <c r="B8224" s="3" t="s">
        <v>8035</v>
      </c>
      <c r="C8224" s="3" t="s">
        <v>8043</v>
      </c>
      <c r="D8224" s="4" t="str">
        <f>HYPERLINK("https://12go.asia/en/travel/bangkok/tha-ruea", "12Go Link")</f>
        <v>12Go Link</v>
      </c>
      <c r="E8224" s="3" t="s">
        <v>8</v>
      </c>
      <c r="K8224" s="5"/>
    </row>
    <row r="8225">
      <c r="A8225" s="3" t="s">
        <v>238</v>
      </c>
      <c r="B8225" s="3" t="s">
        <v>8044</v>
      </c>
      <c r="C8225" s="3" t="s">
        <v>8045</v>
      </c>
      <c r="D8225" s="4" t="str">
        <f t="shared" ref="D8225:D8228" si="825">HYPERLINK("https://12go.asia/en/travel/Bangkok-Transfer/Buriram-Hotel-Transfer", "12Go Link")</f>
        <v>12Go Link</v>
      </c>
      <c r="E8225" s="3" t="s">
        <v>222</v>
      </c>
      <c r="K8225" s="5"/>
    </row>
    <row r="8226">
      <c r="A8226" s="3" t="s">
        <v>238</v>
      </c>
      <c r="B8226" s="3" t="s">
        <v>8044</v>
      </c>
      <c r="C8226" s="3" t="s">
        <v>8045</v>
      </c>
      <c r="D8226" s="4" t="str">
        <f t="shared" si="825"/>
        <v>12Go Link</v>
      </c>
      <c r="E8226" s="3" t="s">
        <v>223</v>
      </c>
      <c r="K8226" s="5"/>
    </row>
    <row r="8227">
      <c r="A8227" s="3" t="s">
        <v>238</v>
      </c>
      <c r="B8227" s="3" t="s">
        <v>8044</v>
      </c>
      <c r="C8227" s="3" t="s">
        <v>8045</v>
      </c>
      <c r="D8227" s="4" t="str">
        <f t="shared" si="825"/>
        <v>12Go Link</v>
      </c>
      <c r="E8227" s="3" t="s">
        <v>6599</v>
      </c>
      <c r="K8227" s="5"/>
    </row>
    <row r="8228">
      <c r="A8228" s="3" t="s">
        <v>238</v>
      </c>
      <c r="B8228" s="3" t="s">
        <v>8044</v>
      </c>
      <c r="C8228" s="3" t="s">
        <v>8045</v>
      </c>
      <c r="D8228" s="4" t="str">
        <f t="shared" si="825"/>
        <v>12Go Link</v>
      </c>
      <c r="E8228" s="3" t="s">
        <v>3197</v>
      </c>
      <c r="K8228" s="5"/>
    </row>
    <row r="8229">
      <c r="A8229" s="3" t="s">
        <v>238</v>
      </c>
      <c r="B8229" s="3" t="s">
        <v>343</v>
      </c>
      <c r="C8229" s="3" t="s">
        <v>8046</v>
      </c>
      <c r="D8229" s="4" t="str">
        <f t="shared" ref="D8229:D8232" si="826">HYPERLINK("https://12go.asia/en/travel/Bangkok-Transfer/Chanthaburi-Transfer", "12Go Link")</f>
        <v>12Go Link</v>
      </c>
      <c r="E8229" s="3" t="s">
        <v>222</v>
      </c>
      <c r="K8229" s="5"/>
    </row>
    <row r="8230">
      <c r="A8230" s="3" t="s">
        <v>238</v>
      </c>
      <c r="B8230" s="3" t="s">
        <v>343</v>
      </c>
      <c r="C8230" s="3" t="s">
        <v>8046</v>
      </c>
      <c r="D8230" s="4" t="str">
        <f t="shared" si="826"/>
        <v>12Go Link</v>
      </c>
      <c r="E8230" s="3" t="s">
        <v>223</v>
      </c>
      <c r="K8230" s="5"/>
    </row>
    <row r="8231">
      <c r="A8231" s="3" t="s">
        <v>238</v>
      </c>
      <c r="B8231" s="3" t="s">
        <v>343</v>
      </c>
      <c r="C8231" s="3" t="s">
        <v>8046</v>
      </c>
      <c r="D8231" s="4" t="str">
        <f t="shared" si="826"/>
        <v>12Go Link</v>
      </c>
      <c r="E8231" s="3" t="s">
        <v>6599</v>
      </c>
      <c r="K8231" s="5"/>
    </row>
    <row r="8232">
      <c r="A8232" s="3" t="s">
        <v>238</v>
      </c>
      <c r="B8232" s="3" t="s">
        <v>343</v>
      </c>
      <c r="C8232" s="3" t="s">
        <v>8046</v>
      </c>
      <c r="D8232" s="4" t="str">
        <f t="shared" si="826"/>
        <v>12Go Link</v>
      </c>
      <c r="E8232" s="3" t="s">
        <v>3197</v>
      </c>
      <c r="K8232" s="5"/>
    </row>
    <row r="8233">
      <c r="A8233" s="3" t="s">
        <v>238</v>
      </c>
      <c r="B8233" s="3" t="s">
        <v>8047</v>
      </c>
      <c r="C8233" s="3" t="s">
        <v>8048</v>
      </c>
      <c r="D8233" s="4" t="str">
        <f t="shared" ref="D8233:D8236" si="827">HYPERLINK("https://12go.asia/en/travel/Bangkok-Transfer/Chiang-Mai-Town-Hotel-Transfer", "12Go Link")</f>
        <v>12Go Link</v>
      </c>
      <c r="E8233" s="3" t="s">
        <v>222</v>
      </c>
      <c r="K8233" s="5"/>
    </row>
    <row r="8234">
      <c r="A8234" s="3" t="s">
        <v>238</v>
      </c>
      <c r="B8234" s="3" t="s">
        <v>8047</v>
      </c>
      <c r="C8234" s="3" t="s">
        <v>8048</v>
      </c>
      <c r="D8234" s="4" t="str">
        <f t="shared" si="827"/>
        <v>12Go Link</v>
      </c>
      <c r="E8234" s="3" t="s">
        <v>223</v>
      </c>
      <c r="K8234" s="5"/>
    </row>
    <row r="8235">
      <c r="A8235" s="3" t="s">
        <v>238</v>
      </c>
      <c r="B8235" s="3" t="s">
        <v>8047</v>
      </c>
      <c r="C8235" s="3" t="s">
        <v>8048</v>
      </c>
      <c r="D8235" s="4" t="str">
        <f t="shared" si="827"/>
        <v>12Go Link</v>
      </c>
      <c r="E8235" s="3" t="s">
        <v>6599</v>
      </c>
      <c r="K8235" s="5"/>
    </row>
    <row r="8236">
      <c r="A8236" s="3" t="s">
        <v>238</v>
      </c>
      <c r="B8236" s="3" t="s">
        <v>8047</v>
      </c>
      <c r="C8236" s="3" t="s">
        <v>8048</v>
      </c>
      <c r="D8236" s="4" t="str">
        <f t="shared" si="827"/>
        <v>12Go Link</v>
      </c>
      <c r="E8236" s="3" t="s">
        <v>3197</v>
      </c>
      <c r="K8236" s="5"/>
    </row>
    <row r="8237">
      <c r="A8237" s="3" t="s">
        <v>238</v>
      </c>
      <c r="B8237" s="3" t="s">
        <v>8049</v>
      </c>
      <c r="C8237" s="3" t="s">
        <v>8050</v>
      </c>
      <c r="D8237" s="4" t="str">
        <f t="shared" ref="D8237:D8240" si="828">HYPERLINK("https://12go.asia/en/travel/Bangkok-Transfer/Chiang-Rai-Hotel-Transfer", "12Go Link")</f>
        <v>12Go Link</v>
      </c>
      <c r="E8237" s="3" t="s">
        <v>222</v>
      </c>
      <c r="K8237" s="5"/>
    </row>
    <row r="8238">
      <c r="A8238" s="3" t="s">
        <v>238</v>
      </c>
      <c r="B8238" s="3" t="s">
        <v>8049</v>
      </c>
      <c r="C8238" s="3" t="s">
        <v>8050</v>
      </c>
      <c r="D8238" s="4" t="str">
        <f t="shared" si="828"/>
        <v>12Go Link</v>
      </c>
      <c r="E8238" s="3" t="s">
        <v>223</v>
      </c>
      <c r="K8238" s="5"/>
    </row>
    <row r="8239">
      <c r="A8239" s="3" t="s">
        <v>238</v>
      </c>
      <c r="B8239" s="3" t="s">
        <v>8049</v>
      </c>
      <c r="C8239" s="3" t="s">
        <v>8050</v>
      </c>
      <c r="D8239" s="4" t="str">
        <f t="shared" si="828"/>
        <v>12Go Link</v>
      </c>
      <c r="E8239" s="3" t="s">
        <v>6599</v>
      </c>
      <c r="K8239" s="5"/>
    </row>
    <row r="8240">
      <c r="A8240" s="3" t="s">
        <v>238</v>
      </c>
      <c r="B8240" s="3" t="s">
        <v>8049</v>
      </c>
      <c r="C8240" s="3" t="s">
        <v>8050</v>
      </c>
      <c r="D8240" s="4" t="str">
        <f t="shared" si="828"/>
        <v>12Go Link</v>
      </c>
      <c r="E8240" s="3" t="s">
        <v>3197</v>
      </c>
      <c r="K8240" s="5"/>
    </row>
    <row r="8241">
      <c r="A8241" s="3" t="s">
        <v>238</v>
      </c>
      <c r="B8241" s="3" t="s">
        <v>8051</v>
      </c>
      <c r="C8241" s="3" t="s">
        <v>8052</v>
      </c>
      <c r="D8241" s="4" t="str">
        <f t="shared" ref="D8241:D8244" si="829">HYPERLINK("https://12go.asia/en/travel/Bangkok-Transfer/Chonburi-Hotel-Transfer", "12Go Link")</f>
        <v>12Go Link</v>
      </c>
      <c r="E8241" s="3" t="s">
        <v>222</v>
      </c>
      <c r="K8241" s="5"/>
    </row>
    <row r="8242">
      <c r="A8242" s="3" t="s">
        <v>238</v>
      </c>
      <c r="B8242" s="3" t="s">
        <v>8051</v>
      </c>
      <c r="C8242" s="3" t="s">
        <v>8052</v>
      </c>
      <c r="D8242" s="4" t="str">
        <f t="shared" si="829"/>
        <v>12Go Link</v>
      </c>
      <c r="E8242" s="3" t="s">
        <v>223</v>
      </c>
      <c r="K8242" s="5"/>
    </row>
    <row r="8243">
      <c r="A8243" s="3" t="s">
        <v>238</v>
      </c>
      <c r="B8243" s="3" t="s">
        <v>8051</v>
      </c>
      <c r="C8243" s="3" t="s">
        <v>8052</v>
      </c>
      <c r="D8243" s="4" t="str">
        <f t="shared" si="829"/>
        <v>12Go Link</v>
      </c>
      <c r="E8243" s="3" t="s">
        <v>6599</v>
      </c>
      <c r="K8243" s="5"/>
    </row>
    <row r="8244">
      <c r="A8244" s="3" t="s">
        <v>238</v>
      </c>
      <c r="B8244" s="3" t="s">
        <v>8051</v>
      </c>
      <c r="C8244" s="3" t="s">
        <v>8052</v>
      </c>
      <c r="D8244" s="4" t="str">
        <f t="shared" si="829"/>
        <v>12Go Link</v>
      </c>
      <c r="E8244" s="3" t="s">
        <v>3197</v>
      </c>
      <c r="K8244" s="5"/>
    </row>
    <row r="8245">
      <c r="A8245" s="3" t="s">
        <v>238</v>
      </c>
      <c r="B8245" s="3" t="s">
        <v>8053</v>
      </c>
      <c r="C8245" s="3" t="s">
        <v>8054</v>
      </c>
      <c r="D8245" s="4" t="str">
        <f t="shared" ref="D8245:D8248" si="830">HYPERLINK("https://12go.asia/en/travel/Bangkok-Transfer/Chumphon-Hotel-Transfer", "12Go Link")</f>
        <v>12Go Link</v>
      </c>
      <c r="E8245" s="3" t="s">
        <v>222</v>
      </c>
      <c r="K8245" s="5"/>
    </row>
    <row r="8246">
      <c r="A8246" s="3" t="s">
        <v>238</v>
      </c>
      <c r="B8246" s="3" t="s">
        <v>8053</v>
      </c>
      <c r="C8246" s="3" t="s">
        <v>8054</v>
      </c>
      <c r="D8246" s="4" t="str">
        <f t="shared" si="830"/>
        <v>12Go Link</v>
      </c>
      <c r="E8246" s="3" t="s">
        <v>223</v>
      </c>
      <c r="K8246" s="5"/>
    </row>
    <row r="8247">
      <c r="A8247" s="3" t="s">
        <v>238</v>
      </c>
      <c r="B8247" s="3" t="s">
        <v>8053</v>
      </c>
      <c r="C8247" s="3" t="s">
        <v>8054</v>
      </c>
      <c r="D8247" s="4" t="str">
        <f t="shared" si="830"/>
        <v>12Go Link</v>
      </c>
      <c r="E8247" s="3" t="s">
        <v>6599</v>
      </c>
      <c r="K8247" s="5"/>
    </row>
    <row r="8248">
      <c r="A8248" s="3" t="s">
        <v>238</v>
      </c>
      <c r="B8248" s="3" t="s">
        <v>8053</v>
      </c>
      <c r="C8248" s="3" t="s">
        <v>8054</v>
      </c>
      <c r="D8248" s="4" t="str">
        <f t="shared" si="830"/>
        <v>12Go Link</v>
      </c>
      <c r="E8248" s="3" t="s">
        <v>3197</v>
      </c>
      <c r="K8248" s="5"/>
    </row>
    <row r="8249">
      <c r="A8249" s="3" t="s">
        <v>238</v>
      </c>
      <c r="B8249" s="3" t="s">
        <v>5928</v>
      </c>
      <c r="C8249" s="3" t="s">
        <v>8055</v>
      </c>
      <c r="D8249" s="4" t="str">
        <f t="shared" ref="D8249:D8252" si="831">HYPERLINK("https://12go.asia/en/travel/Bangkok-Transfer/Don-Mueang-Airport", "12Go Link")</f>
        <v>12Go Link</v>
      </c>
      <c r="E8249" s="3" t="s">
        <v>222</v>
      </c>
      <c r="K8249" s="5"/>
    </row>
    <row r="8250">
      <c r="A8250" s="3" t="s">
        <v>238</v>
      </c>
      <c r="B8250" s="3" t="s">
        <v>5928</v>
      </c>
      <c r="C8250" s="3" t="s">
        <v>8055</v>
      </c>
      <c r="D8250" s="4" t="str">
        <f t="shared" si="831"/>
        <v>12Go Link</v>
      </c>
      <c r="E8250" s="3" t="s">
        <v>223</v>
      </c>
      <c r="K8250" s="5"/>
    </row>
    <row r="8251">
      <c r="A8251" s="3" t="s">
        <v>238</v>
      </c>
      <c r="B8251" s="3" t="s">
        <v>5928</v>
      </c>
      <c r="C8251" s="3" t="s">
        <v>8055</v>
      </c>
      <c r="D8251" s="4" t="str">
        <f t="shared" si="831"/>
        <v>12Go Link</v>
      </c>
      <c r="E8251" s="3" t="s">
        <v>6599</v>
      </c>
      <c r="K8251" s="5"/>
    </row>
    <row r="8252">
      <c r="A8252" s="3" t="s">
        <v>238</v>
      </c>
      <c r="B8252" s="3" t="s">
        <v>5928</v>
      </c>
      <c r="C8252" s="3" t="s">
        <v>8055</v>
      </c>
      <c r="D8252" s="4" t="str">
        <f t="shared" si="831"/>
        <v>12Go Link</v>
      </c>
      <c r="E8252" s="3" t="s">
        <v>3197</v>
      </c>
      <c r="K8252" s="5"/>
    </row>
    <row r="8253">
      <c r="A8253" s="3" t="s">
        <v>238</v>
      </c>
      <c r="B8253" s="3" t="s">
        <v>8056</v>
      </c>
      <c r="C8253" s="3" t="s">
        <v>8057</v>
      </c>
      <c r="D8253" s="4" t="str">
        <f t="shared" ref="D8253:D8256" si="832">HYPERLINK("https://12go.asia/en/travel/Bangkok-Transfer/Hua-Hin-Hotel-Transfer", "12Go Link")</f>
        <v>12Go Link</v>
      </c>
      <c r="E8253" s="3" t="s">
        <v>222</v>
      </c>
      <c r="K8253" s="5"/>
    </row>
    <row r="8254">
      <c r="A8254" s="3" t="s">
        <v>238</v>
      </c>
      <c r="B8254" s="3" t="s">
        <v>8056</v>
      </c>
      <c r="C8254" s="3" t="s">
        <v>8057</v>
      </c>
      <c r="D8254" s="4" t="str">
        <f t="shared" si="832"/>
        <v>12Go Link</v>
      </c>
      <c r="E8254" s="3" t="s">
        <v>223</v>
      </c>
      <c r="K8254" s="5"/>
    </row>
    <row r="8255">
      <c r="A8255" s="3" t="s">
        <v>238</v>
      </c>
      <c r="B8255" s="3" t="s">
        <v>8056</v>
      </c>
      <c r="C8255" s="3" t="s">
        <v>8057</v>
      </c>
      <c r="D8255" s="4" t="str">
        <f t="shared" si="832"/>
        <v>12Go Link</v>
      </c>
      <c r="E8255" s="3" t="s">
        <v>6599</v>
      </c>
      <c r="K8255" s="5"/>
    </row>
    <row r="8256">
      <c r="A8256" s="3" t="s">
        <v>238</v>
      </c>
      <c r="B8256" s="3" t="s">
        <v>8056</v>
      </c>
      <c r="C8256" s="3" t="s">
        <v>8057</v>
      </c>
      <c r="D8256" s="4" t="str">
        <f t="shared" si="832"/>
        <v>12Go Link</v>
      </c>
      <c r="E8256" s="3" t="s">
        <v>3197</v>
      </c>
      <c r="K8256" s="5"/>
    </row>
    <row r="8257">
      <c r="A8257" s="3" t="s">
        <v>238</v>
      </c>
      <c r="B8257" s="3" t="s">
        <v>8058</v>
      </c>
      <c r="C8257" s="3" t="s">
        <v>8059</v>
      </c>
      <c r="D8257" s="4" t="str">
        <f t="shared" ref="D8257:D8260" si="833">HYPERLINK("https://12go.asia/en/travel/Bangkok-Transfer/Kanchanaburi-Hotel-Transfer", "12Go Link")</f>
        <v>12Go Link</v>
      </c>
      <c r="E8257" s="3" t="s">
        <v>222</v>
      </c>
      <c r="K8257" s="5"/>
    </row>
    <row r="8258">
      <c r="A8258" s="3" t="s">
        <v>238</v>
      </c>
      <c r="B8258" s="3" t="s">
        <v>8058</v>
      </c>
      <c r="C8258" s="3" t="s">
        <v>8059</v>
      </c>
      <c r="D8258" s="4" t="str">
        <f t="shared" si="833"/>
        <v>12Go Link</v>
      </c>
      <c r="E8258" s="3" t="s">
        <v>223</v>
      </c>
      <c r="K8258" s="5"/>
    </row>
    <row r="8259">
      <c r="A8259" s="3" t="s">
        <v>238</v>
      </c>
      <c r="B8259" s="3" t="s">
        <v>8058</v>
      </c>
      <c r="C8259" s="3" t="s">
        <v>8059</v>
      </c>
      <c r="D8259" s="4" t="str">
        <f t="shared" si="833"/>
        <v>12Go Link</v>
      </c>
      <c r="E8259" s="3" t="s">
        <v>6599</v>
      </c>
      <c r="K8259" s="5"/>
    </row>
    <row r="8260">
      <c r="A8260" s="3" t="s">
        <v>238</v>
      </c>
      <c r="B8260" s="3" t="s">
        <v>8058</v>
      </c>
      <c r="C8260" s="3" t="s">
        <v>8059</v>
      </c>
      <c r="D8260" s="4" t="str">
        <f t="shared" si="833"/>
        <v>12Go Link</v>
      </c>
      <c r="E8260" s="3" t="s">
        <v>3197</v>
      </c>
      <c r="K8260" s="5"/>
    </row>
    <row r="8261">
      <c r="A8261" s="3" t="s">
        <v>238</v>
      </c>
      <c r="B8261" s="3" t="s">
        <v>8060</v>
      </c>
      <c r="C8261" s="3" t="s">
        <v>8061</v>
      </c>
      <c r="D8261" s="4" t="str">
        <f t="shared" ref="D8261:D8264" si="834">HYPERLINK("https://12go.asia/en/travel/Bangkok-Transfer/Khao-Yai-National-Park", "12Go Link")</f>
        <v>12Go Link</v>
      </c>
      <c r="E8261" s="3" t="s">
        <v>222</v>
      </c>
      <c r="K8261" s="5"/>
    </row>
    <row r="8262">
      <c r="A8262" s="3" t="s">
        <v>238</v>
      </c>
      <c r="B8262" s="3" t="s">
        <v>8060</v>
      </c>
      <c r="C8262" s="3" t="s">
        <v>8061</v>
      </c>
      <c r="D8262" s="4" t="str">
        <f t="shared" si="834"/>
        <v>12Go Link</v>
      </c>
      <c r="E8262" s="3" t="s">
        <v>223</v>
      </c>
      <c r="K8262" s="5"/>
    </row>
    <row r="8263">
      <c r="A8263" s="3" t="s">
        <v>238</v>
      </c>
      <c r="B8263" s="3" t="s">
        <v>8060</v>
      </c>
      <c r="C8263" s="3" t="s">
        <v>8061</v>
      </c>
      <c r="D8263" s="4" t="str">
        <f t="shared" si="834"/>
        <v>12Go Link</v>
      </c>
      <c r="E8263" s="3" t="s">
        <v>6599</v>
      </c>
      <c r="K8263" s="5"/>
    </row>
    <row r="8264">
      <c r="A8264" s="3" t="s">
        <v>238</v>
      </c>
      <c r="B8264" s="3" t="s">
        <v>8060</v>
      </c>
      <c r="C8264" s="3" t="s">
        <v>8061</v>
      </c>
      <c r="D8264" s="4" t="str">
        <f t="shared" si="834"/>
        <v>12Go Link</v>
      </c>
      <c r="E8264" s="3" t="s">
        <v>3197</v>
      </c>
      <c r="K8264" s="5"/>
    </row>
    <row r="8265">
      <c r="A8265" s="3" t="s">
        <v>238</v>
      </c>
      <c r="B8265" s="3" t="s">
        <v>7383</v>
      </c>
      <c r="C8265" s="3" t="s">
        <v>8062</v>
      </c>
      <c r="D8265" s="4" t="str">
        <f t="shared" ref="D8265:D8268" si="835">HYPERLINK("https://12go.asia/en/travel/Bangkok-Transfer/Khon-Kaen-Hotel-Transfer", "12Go Link")</f>
        <v>12Go Link</v>
      </c>
      <c r="E8265" s="3" t="s">
        <v>222</v>
      </c>
      <c r="K8265" s="5"/>
    </row>
    <row r="8266">
      <c r="A8266" s="3" t="s">
        <v>238</v>
      </c>
      <c r="B8266" s="3" t="s">
        <v>7383</v>
      </c>
      <c r="C8266" s="3" t="s">
        <v>8062</v>
      </c>
      <c r="D8266" s="4" t="str">
        <f t="shared" si="835"/>
        <v>12Go Link</v>
      </c>
      <c r="E8266" s="3" t="s">
        <v>223</v>
      </c>
      <c r="K8266" s="5"/>
    </row>
    <row r="8267">
      <c r="A8267" s="3" t="s">
        <v>238</v>
      </c>
      <c r="B8267" s="3" t="s">
        <v>7383</v>
      </c>
      <c r="C8267" s="3" t="s">
        <v>8062</v>
      </c>
      <c r="D8267" s="4" t="str">
        <f t="shared" si="835"/>
        <v>12Go Link</v>
      </c>
      <c r="E8267" s="3" t="s">
        <v>6599</v>
      </c>
      <c r="K8267" s="5"/>
    </row>
    <row r="8268">
      <c r="A8268" s="3" t="s">
        <v>238</v>
      </c>
      <c r="B8268" s="3" t="s">
        <v>7383</v>
      </c>
      <c r="C8268" s="3" t="s">
        <v>8062</v>
      </c>
      <c r="D8268" s="4" t="str">
        <f t="shared" si="835"/>
        <v>12Go Link</v>
      </c>
      <c r="E8268" s="3" t="s">
        <v>3197</v>
      </c>
      <c r="K8268" s="5"/>
    </row>
    <row r="8269">
      <c r="A8269" s="3" t="s">
        <v>238</v>
      </c>
      <c r="B8269" s="3" t="s">
        <v>8063</v>
      </c>
      <c r="C8269" s="3" t="s">
        <v>8064</v>
      </c>
      <c r="D8269" s="4" t="str">
        <f>HYPERLINK("https://12go.asia/en/travel/Bangkok-Transfer/Koh-Chang-Transfer", "12Go Link")</f>
        <v>12Go Link</v>
      </c>
      <c r="E8269" s="3" t="s">
        <v>8065</v>
      </c>
      <c r="K8269" s="5"/>
    </row>
    <row r="8270">
      <c r="A8270" s="3" t="s">
        <v>238</v>
      </c>
      <c r="B8270" s="3" t="s">
        <v>8066</v>
      </c>
      <c r="C8270" s="3" t="s">
        <v>8067</v>
      </c>
      <c r="D8270" s="4" t="str">
        <f>HYPERLINK("https://12go.asia/en/travel/Khao-San-Boonsiri/Koh-Kood-Transfer", "12Go Link")</f>
        <v>12Go Link</v>
      </c>
      <c r="E8270" s="3" t="s">
        <v>8068</v>
      </c>
      <c r="K8270" s="5"/>
    </row>
    <row r="8271">
      <c r="A8271" s="3" t="s">
        <v>238</v>
      </c>
      <c r="B8271" s="3" t="s">
        <v>8069</v>
      </c>
      <c r="C8271" s="3" t="s">
        <v>8070</v>
      </c>
      <c r="D8271" s="4" t="str">
        <f>HYPERLINK("https://12go.asia/en/travel/Khao-San-Boonsiri/Koh-Mak-Ao-Nid", "12Go Link")</f>
        <v>12Go Link</v>
      </c>
      <c r="E8271" s="3" t="s">
        <v>8071</v>
      </c>
      <c r="K8271" s="5"/>
    </row>
    <row r="8272">
      <c r="A8272" s="3" t="s">
        <v>238</v>
      </c>
      <c r="B8272" s="3" t="s">
        <v>8018</v>
      </c>
      <c r="C8272" s="3" t="s">
        <v>8072</v>
      </c>
      <c r="D8272" s="4" t="str">
        <f t="shared" ref="D8272:D8275" si="836">HYPERLINK("https://12go.asia/en/travel/Bangkok-Transfer/Krabi-Town-Transfer", "12Go Link")</f>
        <v>12Go Link</v>
      </c>
      <c r="E8272" s="3" t="s">
        <v>222</v>
      </c>
      <c r="K8272" s="5"/>
    </row>
    <row r="8273">
      <c r="A8273" s="3" t="s">
        <v>238</v>
      </c>
      <c r="B8273" s="3" t="s">
        <v>8018</v>
      </c>
      <c r="C8273" s="3" t="s">
        <v>8072</v>
      </c>
      <c r="D8273" s="4" t="str">
        <f t="shared" si="836"/>
        <v>12Go Link</v>
      </c>
      <c r="E8273" s="3" t="s">
        <v>223</v>
      </c>
      <c r="K8273" s="5"/>
    </row>
    <row r="8274">
      <c r="A8274" s="3" t="s">
        <v>238</v>
      </c>
      <c r="B8274" s="3" t="s">
        <v>8018</v>
      </c>
      <c r="C8274" s="3" t="s">
        <v>8072</v>
      </c>
      <c r="D8274" s="4" t="str">
        <f t="shared" si="836"/>
        <v>12Go Link</v>
      </c>
      <c r="E8274" s="3" t="s">
        <v>6599</v>
      </c>
      <c r="K8274" s="5"/>
    </row>
    <row r="8275">
      <c r="A8275" s="3" t="s">
        <v>238</v>
      </c>
      <c r="B8275" s="3" t="s">
        <v>8018</v>
      </c>
      <c r="C8275" s="3" t="s">
        <v>8072</v>
      </c>
      <c r="D8275" s="4" t="str">
        <f t="shared" si="836"/>
        <v>12Go Link</v>
      </c>
      <c r="E8275" s="3" t="s">
        <v>3197</v>
      </c>
      <c r="K8275" s="5"/>
    </row>
    <row r="8276">
      <c r="A8276" s="3" t="s">
        <v>238</v>
      </c>
      <c r="B8276" s="3" t="s">
        <v>8073</v>
      </c>
      <c r="C8276" s="3" t="s">
        <v>8074</v>
      </c>
      <c r="D8276" s="4" t="str">
        <f>HYPERLINK("https://12go.asia/en/travel/bangkok/lamnam-kra-buri-national-park", "12Go Link")</f>
        <v>12Go Link</v>
      </c>
      <c r="E8276" s="3" t="s">
        <v>8</v>
      </c>
      <c r="K8276" s="5"/>
    </row>
    <row r="8277">
      <c r="A8277" s="3" t="s">
        <v>238</v>
      </c>
      <c r="B8277" s="3" t="s">
        <v>8075</v>
      </c>
      <c r="C8277" s="3" t="s">
        <v>8076</v>
      </c>
      <c r="D8277" s="4" t="str">
        <f t="shared" ref="D8277:D8280" si="837">HYPERLINK("https://12go.asia/en/travel/Bangkok-Transfer/Mae-Sot-Transfer", "12Go Link")</f>
        <v>12Go Link</v>
      </c>
      <c r="E8277" s="3" t="s">
        <v>222</v>
      </c>
      <c r="K8277" s="5"/>
    </row>
    <row r="8278">
      <c r="A8278" s="3" t="s">
        <v>238</v>
      </c>
      <c r="B8278" s="3" t="s">
        <v>8075</v>
      </c>
      <c r="C8278" s="3" t="s">
        <v>8076</v>
      </c>
      <c r="D8278" s="4" t="str">
        <f t="shared" si="837"/>
        <v>12Go Link</v>
      </c>
      <c r="E8278" s="3" t="s">
        <v>223</v>
      </c>
      <c r="K8278" s="5"/>
    </row>
    <row r="8279">
      <c r="A8279" s="3" t="s">
        <v>238</v>
      </c>
      <c r="B8279" s="3" t="s">
        <v>8075</v>
      </c>
      <c r="C8279" s="3" t="s">
        <v>8076</v>
      </c>
      <c r="D8279" s="4" t="str">
        <f t="shared" si="837"/>
        <v>12Go Link</v>
      </c>
      <c r="E8279" s="3" t="s">
        <v>6599</v>
      </c>
      <c r="K8279" s="5"/>
    </row>
    <row r="8280">
      <c r="A8280" s="3" t="s">
        <v>238</v>
      </c>
      <c r="B8280" s="3" t="s">
        <v>8075</v>
      </c>
      <c r="C8280" s="3" t="s">
        <v>8076</v>
      </c>
      <c r="D8280" s="4" t="str">
        <f t="shared" si="837"/>
        <v>12Go Link</v>
      </c>
      <c r="E8280" s="3" t="s">
        <v>3197</v>
      </c>
      <c r="K8280" s="5"/>
    </row>
    <row r="8281">
      <c r="A8281" s="3" t="s">
        <v>238</v>
      </c>
      <c r="B8281" s="3" t="s">
        <v>8077</v>
      </c>
      <c r="C8281" s="3" t="s">
        <v>8078</v>
      </c>
      <c r="D8281" s="4" t="str">
        <f t="shared" ref="D8281:D8284" si="838">HYPERLINK("https://12go.asia/en/travel/Bangkok-Transfer/Nakhon-Ratchasima", "12Go Link")</f>
        <v>12Go Link</v>
      </c>
      <c r="E8281" s="3" t="s">
        <v>222</v>
      </c>
      <c r="K8281" s="5"/>
    </row>
    <row r="8282">
      <c r="A8282" s="3" t="s">
        <v>238</v>
      </c>
      <c r="B8282" s="3" t="s">
        <v>8077</v>
      </c>
      <c r="C8282" s="3" t="s">
        <v>8078</v>
      </c>
      <c r="D8282" s="4" t="str">
        <f t="shared" si="838"/>
        <v>12Go Link</v>
      </c>
      <c r="E8282" s="3" t="s">
        <v>223</v>
      </c>
      <c r="K8282" s="5"/>
    </row>
    <row r="8283">
      <c r="A8283" s="3" t="s">
        <v>238</v>
      </c>
      <c r="B8283" s="3" t="s">
        <v>8077</v>
      </c>
      <c r="C8283" s="3" t="s">
        <v>8078</v>
      </c>
      <c r="D8283" s="4" t="str">
        <f t="shared" si="838"/>
        <v>12Go Link</v>
      </c>
      <c r="E8283" s="3" t="s">
        <v>6599</v>
      </c>
      <c r="K8283" s="5"/>
    </row>
    <row r="8284">
      <c r="A8284" s="3" t="s">
        <v>238</v>
      </c>
      <c r="B8284" s="3" t="s">
        <v>8077</v>
      </c>
      <c r="C8284" s="3" t="s">
        <v>8078</v>
      </c>
      <c r="D8284" s="4" t="str">
        <f t="shared" si="838"/>
        <v>12Go Link</v>
      </c>
      <c r="E8284" s="3" t="s">
        <v>3197</v>
      </c>
      <c r="K8284" s="5"/>
    </row>
    <row r="8285">
      <c r="A8285" s="3" t="s">
        <v>238</v>
      </c>
      <c r="B8285" s="3" t="s">
        <v>7388</v>
      </c>
      <c r="C8285" s="3" t="s">
        <v>8079</v>
      </c>
      <c r="D8285" s="4" t="str">
        <f t="shared" ref="D8285:D8288" si="839">HYPERLINK("https://12go.asia/en/travel/Bangkok-Transfer/Nong-Khai-Hotel-Transfer", "12Go Link")</f>
        <v>12Go Link</v>
      </c>
      <c r="E8285" s="3" t="s">
        <v>222</v>
      </c>
      <c r="K8285" s="5"/>
    </row>
    <row r="8286">
      <c r="A8286" s="3" t="s">
        <v>238</v>
      </c>
      <c r="B8286" s="3" t="s">
        <v>7388</v>
      </c>
      <c r="C8286" s="3" t="s">
        <v>8079</v>
      </c>
      <c r="D8286" s="4" t="str">
        <f t="shared" si="839"/>
        <v>12Go Link</v>
      </c>
      <c r="E8286" s="3" t="s">
        <v>223</v>
      </c>
      <c r="K8286" s="5"/>
    </row>
    <row r="8287">
      <c r="A8287" s="3" t="s">
        <v>238</v>
      </c>
      <c r="B8287" s="3" t="s">
        <v>7388</v>
      </c>
      <c r="C8287" s="3" t="s">
        <v>8079</v>
      </c>
      <c r="D8287" s="4" t="str">
        <f t="shared" si="839"/>
        <v>12Go Link</v>
      </c>
      <c r="E8287" s="3" t="s">
        <v>6599</v>
      </c>
      <c r="K8287" s="5"/>
    </row>
    <row r="8288">
      <c r="A8288" s="3" t="s">
        <v>238</v>
      </c>
      <c r="B8288" s="3" t="s">
        <v>7388</v>
      </c>
      <c r="C8288" s="3" t="s">
        <v>8079</v>
      </c>
      <c r="D8288" s="4" t="str">
        <f t="shared" si="839"/>
        <v>12Go Link</v>
      </c>
      <c r="E8288" s="3" t="s">
        <v>3197</v>
      </c>
      <c r="K8288" s="5"/>
    </row>
    <row r="8289">
      <c r="A8289" s="3" t="s">
        <v>238</v>
      </c>
      <c r="B8289" s="3" t="s">
        <v>8080</v>
      </c>
      <c r="C8289" s="3" t="s">
        <v>8081</v>
      </c>
      <c r="D8289" s="4" t="str">
        <f t="shared" ref="D8289:D8292" si="840">HYPERLINK("https://12go.asia/en/travel/Bangkok-Transfer/Pai", "12Go Link")</f>
        <v>12Go Link</v>
      </c>
      <c r="E8289" s="3" t="s">
        <v>222</v>
      </c>
      <c r="K8289" s="5"/>
    </row>
    <row r="8290">
      <c r="A8290" s="3" t="s">
        <v>238</v>
      </c>
      <c r="B8290" s="3" t="s">
        <v>8080</v>
      </c>
      <c r="C8290" s="3" t="s">
        <v>8081</v>
      </c>
      <c r="D8290" s="4" t="str">
        <f t="shared" si="840"/>
        <v>12Go Link</v>
      </c>
      <c r="E8290" s="3" t="s">
        <v>223</v>
      </c>
      <c r="K8290" s="5"/>
    </row>
    <row r="8291">
      <c r="A8291" s="3" t="s">
        <v>238</v>
      </c>
      <c r="B8291" s="3" t="s">
        <v>8080</v>
      </c>
      <c r="C8291" s="3" t="s">
        <v>8081</v>
      </c>
      <c r="D8291" s="4" t="str">
        <f t="shared" si="840"/>
        <v>12Go Link</v>
      </c>
      <c r="E8291" s="3" t="s">
        <v>6599</v>
      </c>
      <c r="K8291" s="5"/>
    </row>
    <row r="8292">
      <c r="A8292" s="3" t="s">
        <v>238</v>
      </c>
      <c r="B8292" s="3" t="s">
        <v>8080</v>
      </c>
      <c r="C8292" s="3" t="s">
        <v>8081</v>
      </c>
      <c r="D8292" s="4" t="str">
        <f t="shared" si="840"/>
        <v>12Go Link</v>
      </c>
      <c r="E8292" s="3" t="s">
        <v>3197</v>
      </c>
      <c r="K8292" s="5"/>
    </row>
    <row r="8293">
      <c r="A8293" s="3" t="s">
        <v>238</v>
      </c>
      <c r="B8293" s="3" t="s">
        <v>358</v>
      </c>
      <c r="C8293" s="3" t="s">
        <v>8082</v>
      </c>
      <c r="D8293" s="4" t="str">
        <f t="shared" ref="D8293:D8296" si="841">HYPERLINK("https://12go.asia/en/travel/Bangkok-Transfer/Pattaya-Hotel-Transfer", "12Go Link")</f>
        <v>12Go Link</v>
      </c>
      <c r="E8293" s="3" t="s">
        <v>222</v>
      </c>
      <c r="K8293" s="5"/>
    </row>
    <row r="8294">
      <c r="A8294" s="3" t="s">
        <v>238</v>
      </c>
      <c r="B8294" s="3" t="s">
        <v>358</v>
      </c>
      <c r="C8294" s="3" t="s">
        <v>8082</v>
      </c>
      <c r="D8294" s="4" t="str">
        <f t="shared" si="841"/>
        <v>12Go Link</v>
      </c>
      <c r="E8294" s="3" t="s">
        <v>223</v>
      </c>
      <c r="K8294" s="5"/>
    </row>
    <row r="8295">
      <c r="A8295" s="3" t="s">
        <v>238</v>
      </c>
      <c r="B8295" s="3" t="s">
        <v>358</v>
      </c>
      <c r="C8295" s="3" t="s">
        <v>8082</v>
      </c>
      <c r="D8295" s="4" t="str">
        <f t="shared" si="841"/>
        <v>12Go Link</v>
      </c>
      <c r="E8295" s="3" t="s">
        <v>6599</v>
      </c>
      <c r="K8295" s="5"/>
    </row>
    <row r="8296">
      <c r="A8296" s="3" t="s">
        <v>238</v>
      </c>
      <c r="B8296" s="3" t="s">
        <v>358</v>
      </c>
      <c r="C8296" s="3" t="s">
        <v>8082</v>
      </c>
      <c r="D8296" s="4" t="str">
        <f t="shared" si="841"/>
        <v>12Go Link</v>
      </c>
      <c r="E8296" s="3" t="s">
        <v>3197</v>
      </c>
      <c r="K8296" s="5"/>
    </row>
    <row r="8297">
      <c r="A8297" s="3" t="s">
        <v>238</v>
      </c>
      <c r="B8297" s="3" t="s">
        <v>8083</v>
      </c>
      <c r="C8297" s="3" t="s">
        <v>8084</v>
      </c>
      <c r="D8297" s="4" t="str">
        <f t="shared" ref="D8297:D8300" si="842">HYPERLINK("https://12go.asia/en/travel/Bangkok-Transfer/Phang-Nga-Hotel-Transfer", "12Go Link")</f>
        <v>12Go Link</v>
      </c>
      <c r="E8297" s="3" t="s">
        <v>222</v>
      </c>
      <c r="K8297" s="5"/>
    </row>
    <row r="8298">
      <c r="A8298" s="3" t="s">
        <v>238</v>
      </c>
      <c r="B8298" s="3" t="s">
        <v>8083</v>
      </c>
      <c r="C8298" s="3" t="s">
        <v>8084</v>
      </c>
      <c r="D8298" s="4" t="str">
        <f t="shared" si="842"/>
        <v>12Go Link</v>
      </c>
      <c r="E8298" s="3" t="s">
        <v>223</v>
      </c>
      <c r="K8298" s="5"/>
    </row>
    <row r="8299">
      <c r="A8299" s="3" t="s">
        <v>238</v>
      </c>
      <c r="B8299" s="3" t="s">
        <v>8083</v>
      </c>
      <c r="C8299" s="3" t="s">
        <v>8084</v>
      </c>
      <c r="D8299" s="4" t="str">
        <f t="shared" si="842"/>
        <v>12Go Link</v>
      </c>
      <c r="E8299" s="3" t="s">
        <v>6599</v>
      </c>
      <c r="K8299" s="5"/>
    </row>
    <row r="8300">
      <c r="A8300" s="3" t="s">
        <v>238</v>
      </c>
      <c r="B8300" s="3" t="s">
        <v>8083</v>
      </c>
      <c r="C8300" s="3" t="s">
        <v>8084</v>
      </c>
      <c r="D8300" s="4" t="str">
        <f t="shared" si="842"/>
        <v>12Go Link</v>
      </c>
      <c r="E8300" s="3" t="s">
        <v>3197</v>
      </c>
      <c r="K8300" s="5"/>
    </row>
    <row r="8301">
      <c r="A8301" s="3" t="s">
        <v>238</v>
      </c>
      <c r="B8301" s="3" t="s">
        <v>8085</v>
      </c>
      <c r="C8301" s="3" t="s">
        <v>8086</v>
      </c>
      <c r="D8301" s="4" t="str">
        <f t="shared" ref="D8301:D8304" si="843">HYPERLINK("https://12go.asia/en/travel/Bangkok-Transfer/Cha-Am", "12Go Link")</f>
        <v>12Go Link</v>
      </c>
      <c r="E8301" s="3" t="s">
        <v>222</v>
      </c>
      <c r="K8301" s="5"/>
    </row>
    <row r="8302">
      <c r="A8302" s="3" t="s">
        <v>238</v>
      </c>
      <c r="B8302" s="3" t="s">
        <v>8085</v>
      </c>
      <c r="C8302" s="3" t="s">
        <v>8086</v>
      </c>
      <c r="D8302" s="4" t="str">
        <f t="shared" si="843"/>
        <v>12Go Link</v>
      </c>
      <c r="E8302" s="3" t="s">
        <v>223</v>
      </c>
      <c r="K8302" s="5"/>
    </row>
    <row r="8303">
      <c r="A8303" s="3" t="s">
        <v>238</v>
      </c>
      <c r="B8303" s="3" t="s">
        <v>8085</v>
      </c>
      <c r="C8303" s="3" t="s">
        <v>8086</v>
      </c>
      <c r="D8303" s="4" t="str">
        <f t="shared" si="843"/>
        <v>12Go Link</v>
      </c>
      <c r="E8303" s="3" t="s">
        <v>6599</v>
      </c>
      <c r="K8303" s="5"/>
    </row>
    <row r="8304">
      <c r="A8304" s="3" t="s">
        <v>238</v>
      </c>
      <c r="B8304" s="3" t="s">
        <v>8085</v>
      </c>
      <c r="C8304" s="3" t="s">
        <v>8086</v>
      </c>
      <c r="D8304" s="4" t="str">
        <f t="shared" si="843"/>
        <v>12Go Link</v>
      </c>
      <c r="E8304" s="3" t="s">
        <v>3197</v>
      </c>
      <c r="K8304" s="5"/>
    </row>
    <row r="8305">
      <c r="A8305" s="3" t="s">
        <v>238</v>
      </c>
      <c r="B8305" s="3" t="s">
        <v>8020</v>
      </c>
      <c r="C8305" s="3" t="s">
        <v>8087</v>
      </c>
      <c r="D8305" s="4" t="str">
        <f t="shared" ref="D8305:D8308" si="844">HYPERLINK("https://12go.asia/en/travel/Bangkok-Transfer/Phuket-Hotel-Transfer", "12Go Link")</f>
        <v>12Go Link</v>
      </c>
      <c r="E8305" s="3" t="s">
        <v>222</v>
      </c>
      <c r="K8305" s="5"/>
    </row>
    <row r="8306">
      <c r="A8306" s="3" t="s">
        <v>238</v>
      </c>
      <c r="B8306" s="3" t="s">
        <v>8020</v>
      </c>
      <c r="C8306" s="3" t="s">
        <v>8087</v>
      </c>
      <c r="D8306" s="4" t="str">
        <f t="shared" si="844"/>
        <v>12Go Link</v>
      </c>
      <c r="E8306" s="3" t="s">
        <v>223</v>
      </c>
      <c r="K8306" s="5"/>
    </row>
    <row r="8307">
      <c r="A8307" s="3" t="s">
        <v>238</v>
      </c>
      <c r="B8307" s="3" t="s">
        <v>8020</v>
      </c>
      <c r="C8307" s="3" t="s">
        <v>8087</v>
      </c>
      <c r="D8307" s="4" t="str">
        <f t="shared" si="844"/>
        <v>12Go Link</v>
      </c>
      <c r="E8307" s="3" t="s">
        <v>6599</v>
      </c>
      <c r="K8307" s="5"/>
    </row>
    <row r="8308">
      <c r="A8308" s="3" t="s">
        <v>238</v>
      </c>
      <c r="B8308" s="3" t="s">
        <v>8020</v>
      </c>
      <c r="C8308" s="3" t="s">
        <v>8087</v>
      </c>
      <c r="D8308" s="4" t="str">
        <f t="shared" si="844"/>
        <v>12Go Link</v>
      </c>
      <c r="E8308" s="3" t="s">
        <v>3197</v>
      </c>
      <c r="K8308" s="5"/>
    </row>
    <row r="8309">
      <c r="A8309" s="3" t="s">
        <v>238</v>
      </c>
      <c r="B8309" s="3" t="s">
        <v>8088</v>
      </c>
      <c r="C8309" s="3" t="s">
        <v>8089</v>
      </c>
      <c r="D8309" s="4" t="str">
        <f t="shared" ref="D8309:D8312" si="845">HYPERLINK("https://12go.asia/en/travel/Bangkok-Transfer/Ranong-Hotel-Transfer", "12Go Link")</f>
        <v>12Go Link</v>
      </c>
      <c r="E8309" s="3" t="s">
        <v>222</v>
      </c>
      <c r="K8309" s="5"/>
    </row>
    <row r="8310">
      <c r="A8310" s="3" t="s">
        <v>238</v>
      </c>
      <c r="B8310" s="3" t="s">
        <v>8088</v>
      </c>
      <c r="C8310" s="3" t="s">
        <v>8089</v>
      </c>
      <c r="D8310" s="4" t="str">
        <f t="shared" si="845"/>
        <v>12Go Link</v>
      </c>
      <c r="E8310" s="3" t="s">
        <v>223</v>
      </c>
      <c r="K8310" s="5"/>
    </row>
    <row r="8311">
      <c r="A8311" s="3" t="s">
        <v>238</v>
      </c>
      <c r="B8311" s="3" t="s">
        <v>8088</v>
      </c>
      <c r="C8311" s="3" t="s">
        <v>8089</v>
      </c>
      <c r="D8311" s="4" t="str">
        <f t="shared" si="845"/>
        <v>12Go Link</v>
      </c>
      <c r="E8311" s="3" t="s">
        <v>6599</v>
      </c>
      <c r="K8311" s="5"/>
    </row>
    <row r="8312">
      <c r="A8312" s="3" t="s">
        <v>238</v>
      </c>
      <c r="B8312" s="3" t="s">
        <v>8088</v>
      </c>
      <c r="C8312" s="3" t="s">
        <v>8089</v>
      </c>
      <c r="D8312" s="4" t="str">
        <f t="shared" si="845"/>
        <v>12Go Link</v>
      </c>
      <c r="E8312" s="3" t="s">
        <v>3197</v>
      </c>
      <c r="K8312" s="5"/>
    </row>
    <row r="8313">
      <c r="A8313" s="3" t="s">
        <v>238</v>
      </c>
      <c r="B8313" s="3" t="s">
        <v>8090</v>
      </c>
      <c r="C8313" s="3" t="s">
        <v>8091</v>
      </c>
      <c r="D8313" s="4" t="str">
        <f t="shared" ref="D8313:D8316" si="846">HYPERLINK("https://12go.asia/en/travel/Bangkok-Transfer/Rayong-Town-Hotel-Transfer", "12Go Link")</f>
        <v>12Go Link</v>
      </c>
      <c r="E8313" s="3" t="s">
        <v>222</v>
      </c>
      <c r="K8313" s="5"/>
    </row>
    <row r="8314">
      <c r="A8314" s="3" t="s">
        <v>238</v>
      </c>
      <c r="B8314" s="3" t="s">
        <v>8090</v>
      </c>
      <c r="C8314" s="3" t="s">
        <v>8091</v>
      </c>
      <c r="D8314" s="4" t="str">
        <f t="shared" si="846"/>
        <v>12Go Link</v>
      </c>
      <c r="E8314" s="3" t="s">
        <v>223</v>
      </c>
      <c r="K8314" s="5"/>
    </row>
    <row r="8315">
      <c r="A8315" s="3" t="s">
        <v>238</v>
      </c>
      <c r="B8315" s="3" t="s">
        <v>8090</v>
      </c>
      <c r="C8315" s="3" t="s">
        <v>8091</v>
      </c>
      <c r="D8315" s="4" t="str">
        <f t="shared" si="846"/>
        <v>12Go Link</v>
      </c>
      <c r="E8315" s="3" t="s">
        <v>6599</v>
      </c>
      <c r="K8315" s="5"/>
    </row>
    <row r="8316">
      <c r="A8316" s="3" t="s">
        <v>238</v>
      </c>
      <c r="B8316" s="3" t="s">
        <v>8090</v>
      </c>
      <c r="C8316" s="3" t="s">
        <v>8091</v>
      </c>
      <c r="D8316" s="4" t="str">
        <f t="shared" si="846"/>
        <v>12Go Link</v>
      </c>
      <c r="E8316" s="3" t="s">
        <v>3197</v>
      </c>
      <c r="K8316" s="5"/>
    </row>
    <row r="8317">
      <c r="A8317" s="3" t="s">
        <v>238</v>
      </c>
      <c r="B8317" s="3" t="s">
        <v>8092</v>
      </c>
      <c r="C8317" s="3" t="s">
        <v>8093</v>
      </c>
      <c r="D8317" s="4" t="str">
        <f t="shared" ref="D8317:D8320" si="847">HYPERLINK("https://12go.asia/en/travel/Bangkok-Transfer/Sa-Kaeo-Hotel-Transfer", "12Go Link")</f>
        <v>12Go Link</v>
      </c>
      <c r="E8317" s="3" t="s">
        <v>222</v>
      </c>
      <c r="K8317" s="5"/>
    </row>
    <row r="8318">
      <c r="A8318" s="3" t="s">
        <v>238</v>
      </c>
      <c r="B8318" s="3" t="s">
        <v>8092</v>
      </c>
      <c r="C8318" s="3" t="s">
        <v>8093</v>
      </c>
      <c r="D8318" s="4" t="str">
        <f t="shared" si="847"/>
        <v>12Go Link</v>
      </c>
      <c r="E8318" s="3" t="s">
        <v>223</v>
      </c>
      <c r="K8318" s="5"/>
    </row>
    <row r="8319">
      <c r="A8319" s="3" t="s">
        <v>238</v>
      </c>
      <c r="B8319" s="3" t="s">
        <v>8092</v>
      </c>
      <c r="C8319" s="3" t="s">
        <v>8093</v>
      </c>
      <c r="D8319" s="4" t="str">
        <f t="shared" si="847"/>
        <v>12Go Link</v>
      </c>
      <c r="E8319" s="3" t="s">
        <v>6599</v>
      </c>
      <c r="K8319" s="5"/>
    </row>
    <row r="8320">
      <c r="A8320" s="3" t="s">
        <v>238</v>
      </c>
      <c r="B8320" s="3" t="s">
        <v>8092</v>
      </c>
      <c r="C8320" s="3" t="s">
        <v>8093</v>
      </c>
      <c r="D8320" s="4" t="str">
        <f t="shared" si="847"/>
        <v>12Go Link</v>
      </c>
      <c r="E8320" s="3" t="s">
        <v>3197</v>
      </c>
      <c r="K8320" s="5"/>
    </row>
    <row r="8321">
      <c r="A8321" s="3" t="s">
        <v>238</v>
      </c>
      <c r="B8321" s="3" t="s">
        <v>8094</v>
      </c>
      <c r="C8321" s="3" t="s">
        <v>8095</v>
      </c>
      <c r="D8321" s="4" t="str">
        <f t="shared" ref="D8321:D8322" si="848">HYPERLINK("https://12go.asia/en/travel/Bangkok-Transfer/Amphawa-Floating-Market", "12Go Link")</f>
        <v>12Go Link</v>
      </c>
      <c r="E8321" s="3" t="s">
        <v>8096</v>
      </c>
      <c r="K8321" s="5"/>
    </row>
    <row r="8322">
      <c r="A8322" s="3" t="s">
        <v>238</v>
      </c>
      <c r="B8322" s="3" t="s">
        <v>8094</v>
      </c>
      <c r="C8322" s="3" t="s">
        <v>8095</v>
      </c>
      <c r="D8322" s="4" t="str">
        <f t="shared" si="848"/>
        <v>12Go Link</v>
      </c>
      <c r="E8322" s="3" t="s">
        <v>8097</v>
      </c>
      <c r="K8322" s="5"/>
    </row>
    <row r="8323">
      <c r="A8323" s="3" t="s">
        <v>238</v>
      </c>
      <c r="B8323" s="3" t="s">
        <v>8098</v>
      </c>
      <c r="C8323" s="3" t="s">
        <v>8099</v>
      </c>
      <c r="D8323" s="4" t="str">
        <f t="shared" ref="D8323:D8326" si="849">HYPERLINK("https://12go.asia/en/travel/Bangkok-Transfer/Surat-Thani", "12Go Link")</f>
        <v>12Go Link</v>
      </c>
      <c r="E8323" s="3" t="s">
        <v>222</v>
      </c>
      <c r="K8323" s="5"/>
    </row>
    <row r="8324">
      <c r="A8324" s="3" t="s">
        <v>238</v>
      </c>
      <c r="B8324" s="3" t="s">
        <v>8098</v>
      </c>
      <c r="C8324" s="3" t="s">
        <v>8099</v>
      </c>
      <c r="D8324" s="4" t="str">
        <f t="shared" si="849"/>
        <v>12Go Link</v>
      </c>
      <c r="E8324" s="3" t="s">
        <v>223</v>
      </c>
      <c r="K8324" s="5"/>
    </row>
    <row r="8325">
      <c r="A8325" s="3" t="s">
        <v>238</v>
      </c>
      <c r="B8325" s="3" t="s">
        <v>8098</v>
      </c>
      <c r="C8325" s="3" t="s">
        <v>8099</v>
      </c>
      <c r="D8325" s="4" t="str">
        <f t="shared" si="849"/>
        <v>12Go Link</v>
      </c>
      <c r="E8325" s="3" t="s">
        <v>6599</v>
      </c>
      <c r="K8325" s="5"/>
    </row>
    <row r="8326">
      <c r="A8326" s="3" t="s">
        <v>238</v>
      </c>
      <c r="B8326" s="3" t="s">
        <v>8098</v>
      </c>
      <c r="C8326" s="3" t="s">
        <v>8099</v>
      </c>
      <c r="D8326" s="4" t="str">
        <f t="shared" si="849"/>
        <v>12Go Link</v>
      </c>
      <c r="E8326" s="3" t="s">
        <v>3197</v>
      </c>
      <c r="K8326" s="5"/>
    </row>
    <row r="8327">
      <c r="A8327" s="3" t="s">
        <v>238</v>
      </c>
      <c r="B8327" s="3" t="s">
        <v>8028</v>
      </c>
      <c r="C8327" s="3" t="s">
        <v>8100</v>
      </c>
      <c r="D8327" s="4" t="str">
        <f t="shared" ref="D8327:D8330" si="850">HYPERLINK("https://12go.asia/en/travel/Bangkok-Hotel-Transfer/Suvarnabhumi-Airport", "12Go Link")</f>
        <v>12Go Link</v>
      </c>
      <c r="E8327" s="3" t="s">
        <v>222</v>
      </c>
      <c r="K8327" s="5"/>
    </row>
    <row r="8328">
      <c r="A8328" s="3" t="s">
        <v>238</v>
      </c>
      <c r="B8328" s="3" t="s">
        <v>8028</v>
      </c>
      <c r="C8328" s="3" t="s">
        <v>8100</v>
      </c>
      <c r="D8328" s="4" t="str">
        <f t="shared" si="850"/>
        <v>12Go Link</v>
      </c>
      <c r="E8328" s="3" t="s">
        <v>223</v>
      </c>
      <c r="K8328" s="5"/>
    </row>
    <row r="8329">
      <c r="A8329" s="3" t="s">
        <v>238</v>
      </c>
      <c r="B8329" s="3" t="s">
        <v>8028</v>
      </c>
      <c r="C8329" s="3" t="s">
        <v>8100</v>
      </c>
      <c r="D8329" s="4" t="str">
        <f t="shared" si="850"/>
        <v>12Go Link</v>
      </c>
      <c r="E8329" s="3" t="s">
        <v>6599</v>
      </c>
      <c r="K8329" s="5"/>
    </row>
    <row r="8330">
      <c r="A8330" s="3" t="s">
        <v>238</v>
      </c>
      <c r="B8330" s="3" t="s">
        <v>8028</v>
      </c>
      <c r="C8330" s="3" t="s">
        <v>8100</v>
      </c>
      <c r="D8330" s="4" t="str">
        <f t="shared" si="850"/>
        <v>12Go Link</v>
      </c>
      <c r="E8330" s="3" t="s">
        <v>3197</v>
      </c>
      <c r="K8330" s="5"/>
    </row>
    <row r="8331">
      <c r="A8331" s="3" t="s">
        <v>238</v>
      </c>
      <c r="B8331" s="3" t="s">
        <v>8028</v>
      </c>
      <c r="C8331" s="3" t="s">
        <v>8101</v>
      </c>
      <c r="D8331" s="4" t="str">
        <f t="shared" ref="D8331:D8335" si="851">HYPERLINK("https://12go.asia/en/travel/Bangkok-Transfer/Suvarnabhumi-Airport", "12Go Link")</f>
        <v>12Go Link</v>
      </c>
      <c r="E8331" s="3" t="s">
        <v>222</v>
      </c>
      <c r="K8331" s="5"/>
    </row>
    <row r="8332">
      <c r="A8332" s="3" t="s">
        <v>238</v>
      </c>
      <c r="B8332" s="3" t="s">
        <v>8028</v>
      </c>
      <c r="C8332" s="3" t="s">
        <v>8101</v>
      </c>
      <c r="D8332" s="4" t="str">
        <f t="shared" si="851"/>
        <v>12Go Link</v>
      </c>
      <c r="E8332" s="3" t="s">
        <v>223</v>
      </c>
      <c r="K8332" s="5"/>
    </row>
    <row r="8333">
      <c r="A8333" s="3" t="s">
        <v>238</v>
      </c>
      <c r="B8333" s="3" t="s">
        <v>8028</v>
      </c>
      <c r="C8333" s="3" t="s">
        <v>8101</v>
      </c>
      <c r="D8333" s="4" t="str">
        <f t="shared" si="851"/>
        <v>12Go Link</v>
      </c>
      <c r="E8333" s="3" t="s">
        <v>6599</v>
      </c>
      <c r="K8333" s="5"/>
    </row>
    <row r="8334">
      <c r="A8334" s="3" t="s">
        <v>238</v>
      </c>
      <c r="B8334" s="3" t="s">
        <v>8028</v>
      </c>
      <c r="C8334" s="3" t="s">
        <v>8101</v>
      </c>
      <c r="D8334" s="4" t="str">
        <f t="shared" si="851"/>
        <v>12Go Link</v>
      </c>
      <c r="E8334" s="3" t="s">
        <v>3197</v>
      </c>
      <c r="K8334" s="5"/>
    </row>
    <row r="8335">
      <c r="A8335" s="3" t="s">
        <v>238</v>
      </c>
      <c r="B8335" s="3" t="s">
        <v>8028</v>
      </c>
      <c r="C8335" s="3" t="s">
        <v>8101</v>
      </c>
      <c r="D8335" s="4" t="str">
        <f t="shared" si="851"/>
        <v>12Go Link</v>
      </c>
      <c r="E8335" s="3" t="s">
        <v>8065</v>
      </c>
      <c r="K8335" s="5"/>
    </row>
    <row r="8336">
      <c r="A8336" s="3" t="s">
        <v>238</v>
      </c>
      <c r="B8336" s="3" t="s">
        <v>284</v>
      </c>
      <c r="C8336" s="3" t="s">
        <v>8102</v>
      </c>
      <c r="D8336" s="4" t="str">
        <f t="shared" ref="D8336:D8339" si="852">HYPERLINK("https://12go.asia/en/travel/Bangkok-Transfer/Ao-Thammachat-pier", "12Go Link")</f>
        <v>12Go Link</v>
      </c>
      <c r="E8336" s="3" t="s">
        <v>222</v>
      </c>
      <c r="K8336" s="5"/>
    </row>
    <row r="8337">
      <c r="A8337" s="3" t="s">
        <v>238</v>
      </c>
      <c r="B8337" s="3" t="s">
        <v>284</v>
      </c>
      <c r="C8337" s="3" t="s">
        <v>8102</v>
      </c>
      <c r="D8337" s="4" t="str">
        <f t="shared" si="852"/>
        <v>12Go Link</v>
      </c>
      <c r="E8337" s="3" t="s">
        <v>223</v>
      </c>
      <c r="K8337" s="5"/>
    </row>
    <row r="8338">
      <c r="A8338" s="3" t="s">
        <v>238</v>
      </c>
      <c r="B8338" s="3" t="s">
        <v>284</v>
      </c>
      <c r="C8338" s="3" t="s">
        <v>8102</v>
      </c>
      <c r="D8338" s="4" t="str">
        <f t="shared" si="852"/>
        <v>12Go Link</v>
      </c>
      <c r="E8338" s="3" t="s">
        <v>6599</v>
      </c>
      <c r="K8338" s="5"/>
    </row>
    <row r="8339">
      <c r="A8339" s="3" t="s">
        <v>238</v>
      </c>
      <c r="B8339" s="3" t="s">
        <v>284</v>
      </c>
      <c r="C8339" s="3" t="s">
        <v>8102</v>
      </c>
      <c r="D8339" s="4" t="str">
        <f t="shared" si="852"/>
        <v>12Go Link</v>
      </c>
      <c r="E8339" s="3" t="s">
        <v>3197</v>
      </c>
      <c r="K8339" s="5"/>
    </row>
    <row r="8340">
      <c r="A8340" s="3" t="s">
        <v>238</v>
      </c>
      <c r="B8340" s="3" t="s">
        <v>284</v>
      </c>
      <c r="C8340" s="3" t="s">
        <v>8103</v>
      </c>
      <c r="D8340" s="4" t="str">
        <f t="shared" ref="D8340:D8343" si="853">HYPERLINK("https://12go.asia/en/travel/Bangkok-Transfer/Laem-Sok-Pier", "12Go Link")</f>
        <v>12Go Link</v>
      </c>
      <c r="E8340" s="3" t="s">
        <v>222</v>
      </c>
      <c r="K8340" s="5"/>
    </row>
    <row r="8341">
      <c r="A8341" s="3" t="s">
        <v>238</v>
      </c>
      <c r="B8341" s="3" t="s">
        <v>284</v>
      </c>
      <c r="C8341" s="3" t="s">
        <v>8103</v>
      </c>
      <c r="D8341" s="4" t="str">
        <f t="shared" si="853"/>
        <v>12Go Link</v>
      </c>
      <c r="E8341" s="3" t="s">
        <v>223</v>
      </c>
      <c r="K8341" s="5"/>
    </row>
    <row r="8342">
      <c r="A8342" s="3" t="s">
        <v>238</v>
      </c>
      <c r="B8342" s="3" t="s">
        <v>284</v>
      </c>
      <c r="C8342" s="3" t="s">
        <v>8103</v>
      </c>
      <c r="D8342" s="4" t="str">
        <f t="shared" si="853"/>
        <v>12Go Link</v>
      </c>
      <c r="E8342" s="3" t="s">
        <v>6599</v>
      </c>
      <c r="K8342" s="5"/>
    </row>
    <row r="8343">
      <c r="A8343" s="3" t="s">
        <v>238</v>
      </c>
      <c r="B8343" s="3" t="s">
        <v>284</v>
      </c>
      <c r="C8343" s="3" t="s">
        <v>8103</v>
      </c>
      <c r="D8343" s="4" t="str">
        <f t="shared" si="853"/>
        <v>12Go Link</v>
      </c>
      <c r="E8343" s="3" t="s">
        <v>3197</v>
      </c>
      <c r="K8343" s="5"/>
    </row>
    <row r="8344">
      <c r="A8344" s="3" t="s">
        <v>238</v>
      </c>
      <c r="B8344" s="3" t="s">
        <v>7393</v>
      </c>
      <c r="C8344" s="3" t="s">
        <v>8104</v>
      </c>
      <c r="D8344" s="4" t="str">
        <f t="shared" ref="D8344:D8347" si="854">HYPERLINK("https://12go.asia/en/travel/Bangkok-Transfer/Udon-Thani-Transfer", "12Go Link")</f>
        <v>12Go Link</v>
      </c>
      <c r="E8344" s="3" t="s">
        <v>222</v>
      </c>
      <c r="K8344" s="5"/>
    </row>
    <row r="8345">
      <c r="A8345" s="3" t="s">
        <v>238</v>
      </c>
      <c r="B8345" s="3" t="s">
        <v>7393</v>
      </c>
      <c r="C8345" s="3" t="s">
        <v>8104</v>
      </c>
      <c r="D8345" s="4" t="str">
        <f t="shared" si="854"/>
        <v>12Go Link</v>
      </c>
      <c r="E8345" s="3" t="s">
        <v>223</v>
      </c>
      <c r="K8345" s="5"/>
    </row>
    <row r="8346">
      <c r="A8346" s="3" t="s">
        <v>238</v>
      </c>
      <c r="B8346" s="3" t="s">
        <v>7393</v>
      </c>
      <c r="C8346" s="3" t="s">
        <v>8104</v>
      </c>
      <c r="D8346" s="4" t="str">
        <f t="shared" si="854"/>
        <v>12Go Link</v>
      </c>
      <c r="E8346" s="3" t="s">
        <v>6599</v>
      </c>
      <c r="K8346" s="5"/>
    </row>
    <row r="8347">
      <c r="A8347" s="3" t="s">
        <v>238</v>
      </c>
      <c r="B8347" s="3" t="s">
        <v>7393</v>
      </c>
      <c r="C8347" s="3" t="s">
        <v>8104</v>
      </c>
      <c r="D8347" s="4" t="str">
        <f t="shared" si="854"/>
        <v>12Go Link</v>
      </c>
      <c r="E8347" s="3" t="s">
        <v>3197</v>
      </c>
      <c r="K8347" s="5"/>
    </row>
    <row r="8348">
      <c r="A8348" s="3" t="s">
        <v>8044</v>
      </c>
      <c r="B8348" s="3" t="s">
        <v>238</v>
      </c>
      <c r="C8348" s="3" t="s">
        <v>8105</v>
      </c>
      <c r="D8348" s="4" t="str">
        <f t="shared" ref="D8348:D8351" si="855">HYPERLINK("https://12go.asia/en/travel/Buriram-Hotel-Transfer/Bangkok-Transfer", "12Go Link")</f>
        <v>12Go Link</v>
      </c>
      <c r="E8348" s="3" t="s">
        <v>222</v>
      </c>
      <c r="K8348" s="5"/>
    </row>
    <row r="8349">
      <c r="A8349" s="3" t="s">
        <v>8044</v>
      </c>
      <c r="B8349" s="3" t="s">
        <v>238</v>
      </c>
      <c r="C8349" s="3" t="s">
        <v>8105</v>
      </c>
      <c r="D8349" s="4" t="str">
        <f t="shared" si="855"/>
        <v>12Go Link</v>
      </c>
      <c r="E8349" s="3" t="s">
        <v>223</v>
      </c>
      <c r="K8349" s="5"/>
    </row>
    <row r="8350">
      <c r="A8350" s="3" t="s">
        <v>8044</v>
      </c>
      <c r="B8350" s="3" t="s">
        <v>238</v>
      </c>
      <c r="C8350" s="3" t="s">
        <v>8105</v>
      </c>
      <c r="D8350" s="4" t="str">
        <f t="shared" si="855"/>
        <v>12Go Link</v>
      </c>
      <c r="E8350" s="3" t="s">
        <v>6599</v>
      </c>
      <c r="K8350" s="5"/>
    </row>
    <row r="8351">
      <c r="A8351" s="3" t="s">
        <v>8044</v>
      </c>
      <c r="B8351" s="3" t="s">
        <v>238</v>
      </c>
      <c r="C8351" s="3" t="s">
        <v>8105</v>
      </c>
      <c r="D8351" s="4" t="str">
        <f t="shared" si="855"/>
        <v>12Go Link</v>
      </c>
      <c r="E8351" s="3" t="s">
        <v>3197</v>
      </c>
      <c r="K8351" s="5"/>
    </row>
    <row r="8352">
      <c r="A8352" s="3" t="s">
        <v>8044</v>
      </c>
      <c r="B8352" s="3" t="s">
        <v>8028</v>
      </c>
      <c r="C8352" s="3" t="s">
        <v>8106</v>
      </c>
      <c r="D8352" s="4" t="str">
        <f t="shared" ref="D8352:D8355" si="856">HYPERLINK("https://12go.asia/en/travel/Buriram-Hotel-Transfer/Suvarnabhumi-Airport", "12Go Link")</f>
        <v>12Go Link</v>
      </c>
      <c r="E8352" s="3" t="s">
        <v>222</v>
      </c>
      <c r="K8352" s="5"/>
    </row>
    <row r="8353">
      <c r="A8353" s="3" t="s">
        <v>8044</v>
      </c>
      <c r="B8353" s="3" t="s">
        <v>8028</v>
      </c>
      <c r="C8353" s="3" t="s">
        <v>8106</v>
      </c>
      <c r="D8353" s="4" t="str">
        <f t="shared" si="856"/>
        <v>12Go Link</v>
      </c>
      <c r="E8353" s="3" t="s">
        <v>223</v>
      </c>
      <c r="K8353" s="5"/>
    </row>
    <row r="8354">
      <c r="A8354" s="3" t="s">
        <v>8044</v>
      </c>
      <c r="B8354" s="3" t="s">
        <v>8028</v>
      </c>
      <c r="C8354" s="3" t="s">
        <v>8106</v>
      </c>
      <c r="D8354" s="4" t="str">
        <f t="shared" si="856"/>
        <v>12Go Link</v>
      </c>
      <c r="E8354" s="3" t="s">
        <v>6599</v>
      </c>
      <c r="K8354" s="5"/>
    </row>
    <row r="8355">
      <c r="A8355" s="3" t="s">
        <v>8044</v>
      </c>
      <c r="B8355" s="3" t="s">
        <v>8028</v>
      </c>
      <c r="C8355" s="3" t="s">
        <v>8106</v>
      </c>
      <c r="D8355" s="4" t="str">
        <f t="shared" si="856"/>
        <v>12Go Link</v>
      </c>
      <c r="E8355" s="3" t="s">
        <v>3197</v>
      </c>
      <c r="K8355" s="5"/>
    </row>
    <row r="8356">
      <c r="A8356" s="3" t="s">
        <v>343</v>
      </c>
      <c r="B8356" s="3" t="s">
        <v>238</v>
      </c>
      <c r="C8356" s="3" t="s">
        <v>8107</v>
      </c>
      <c r="D8356" s="4" t="str">
        <f t="shared" ref="D8356:D8359" si="857">HYPERLINK("https://12go.asia/en/travel/Chanthaburi-Transfer/Bangkok-Transfer", "12Go Link")</f>
        <v>12Go Link</v>
      </c>
      <c r="E8356" s="3" t="s">
        <v>222</v>
      </c>
      <c r="K8356" s="5"/>
    </row>
    <row r="8357">
      <c r="A8357" s="3" t="s">
        <v>343</v>
      </c>
      <c r="B8357" s="3" t="s">
        <v>238</v>
      </c>
      <c r="C8357" s="3" t="s">
        <v>8107</v>
      </c>
      <c r="D8357" s="4" t="str">
        <f t="shared" si="857"/>
        <v>12Go Link</v>
      </c>
      <c r="E8357" s="3" t="s">
        <v>223</v>
      </c>
      <c r="K8357" s="5"/>
    </row>
    <row r="8358">
      <c r="A8358" s="3" t="s">
        <v>343</v>
      </c>
      <c r="B8358" s="3" t="s">
        <v>238</v>
      </c>
      <c r="C8358" s="3" t="s">
        <v>8107</v>
      </c>
      <c r="D8358" s="4" t="str">
        <f t="shared" si="857"/>
        <v>12Go Link</v>
      </c>
      <c r="E8358" s="3" t="s">
        <v>6599</v>
      </c>
      <c r="K8358" s="5"/>
    </row>
    <row r="8359">
      <c r="A8359" s="3" t="s">
        <v>343</v>
      </c>
      <c r="B8359" s="3" t="s">
        <v>238</v>
      </c>
      <c r="C8359" s="3" t="s">
        <v>8107</v>
      </c>
      <c r="D8359" s="4" t="str">
        <f t="shared" si="857"/>
        <v>12Go Link</v>
      </c>
      <c r="E8359" s="3" t="s">
        <v>3197</v>
      </c>
      <c r="K8359" s="5"/>
    </row>
    <row r="8360">
      <c r="A8360" s="3" t="s">
        <v>343</v>
      </c>
      <c r="B8360" s="3" t="s">
        <v>8028</v>
      </c>
      <c r="C8360" s="3" t="s">
        <v>8108</v>
      </c>
      <c r="D8360" s="4" t="str">
        <f t="shared" ref="D8360:D8363" si="858">HYPERLINK("https://12go.asia/en/travel/Chanthaburi-Transfer/Suvarnabhumi-Airport", "12Go Link")</f>
        <v>12Go Link</v>
      </c>
      <c r="E8360" s="3" t="s">
        <v>222</v>
      </c>
      <c r="K8360" s="5"/>
    </row>
    <row r="8361">
      <c r="A8361" s="3" t="s">
        <v>343</v>
      </c>
      <c r="B8361" s="3" t="s">
        <v>8028</v>
      </c>
      <c r="C8361" s="3" t="s">
        <v>8108</v>
      </c>
      <c r="D8361" s="4" t="str">
        <f t="shared" si="858"/>
        <v>12Go Link</v>
      </c>
      <c r="E8361" s="3" t="s">
        <v>223</v>
      </c>
      <c r="K8361" s="5"/>
    </row>
    <row r="8362">
      <c r="A8362" s="3" t="s">
        <v>343</v>
      </c>
      <c r="B8362" s="3" t="s">
        <v>8028</v>
      </c>
      <c r="C8362" s="3" t="s">
        <v>8108</v>
      </c>
      <c r="D8362" s="4" t="str">
        <f t="shared" si="858"/>
        <v>12Go Link</v>
      </c>
      <c r="E8362" s="3" t="s">
        <v>6599</v>
      </c>
      <c r="K8362" s="5"/>
    </row>
    <row r="8363">
      <c r="A8363" s="3" t="s">
        <v>343</v>
      </c>
      <c r="B8363" s="3" t="s">
        <v>8028</v>
      </c>
      <c r="C8363" s="3" t="s">
        <v>8108</v>
      </c>
      <c r="D8363" s="4" t="str">
        <f t="shared" si="858"/>
        <v>12Go Link</v>
      </c>
      <c r="E8363" s="3" t="s">
        <v>3197</v>
      </c>
      <c r="K8363" s="5"/>
    </row>
    <row r="8364">
      <c r="A8364" s="3" t="s">
        <v>8047</v>
      </c>
      <c r="B8364" s="3" t="s">
        <v>238</v>
      </c>
      <c r="C8364" s="3" t="s">
        <v>8109</v>
      </c>
      <c r="D8364" s="4" t="str">
        <f t="shared" ref="D8364:D8367" si="859">HYPERLINK("https://12go.asia/en/travel/Chiang-Mai-Town-Hotel-Transfer/Bangkok-Transfer", "12Go Link")</f>
        <v>12Go Link</v>
      </c>
      <c r="E8364" s="3" t="s">
        <v>222</v>
      </c>
      <c r="K8364" s="5"/>
    </row>
    <row r="8365">
      <c r="A8365" s="3" t="s">
        <v>8047</v>
      </c>
      <c r="B8365" s="3" t="s">
        <v>238</v>
      </c>
      <c r="C8365" s="3" t="s">
        <v>8109</v>
      </c>
      <c r="D8365" s="4" t="str">
        <f t="shared" si="859"/>
        <v>12Go Link</v>
      </c>
      <c r="E8365" s="3" t="s">
        <v>223</v>
      </c>
      <c r="K8365" s="5"/>
    </row>
    <row r="8366">
      <c r="A8366" s="3" t="s">
        <v>8047</v>
      </c>
      <c r="B8366" s="3" t="s">
        <v>238</v>
      </c>
      <c r="C8366" s="3" t="s">
        <v>8109</v>
      </c>
      <c r="D8366" s="4" t="str">
        <f t="shared" si="859"/>
        <v>12Go Link</v>
      </c>
      <c r="E8366" s="3" t="s">
        <v>6599</v>
      </c>
      <c r="K8366" s="5"/>
    </row>
    <row r="8367">
      <c r="A8367" s="3" t="s">
        <v>8047</v>
      </c>
      <c r="B8367" s="3" t="s">
        <v>238</v>
      </c>
      <c r="C8367" s="3" t="s">
        <v>8109</v>
      </c>
      <c r="D8367" s="4" t="str">
        <f t="shared" si="859"/>
        <v>12Go Link</v>
      </c>
      <c r="E8367" s="3" t="s">
        <v>3197</v>
      </c>
      <c r="K8367" s="5"/>
    </row>
    <row r="8368">
      <c r="A8368" s="3" t="s">
        <v>8047</v>
      </c>
      <c r="B8368" s="3" t="s">
        <v>8047</v>
      </c>
      <c r="C8368" s="3" t="s">
        <v>8110</v>
      </c>
      <c r="D8368" s="4" t="str">
        <f t="shared" ref="D8368:D8370" si="860">HYPERLINK("https://12go.asia/en/travel/Chiang-Mai-Airport/Chiang-Mai-City-Transfer", "12Go Link")</f>
        <v>12Go Link</v>
      </c>
      <c r="E8368" s="3" t="s">
        <v>222</v>
      </c>
      <c r="K8368" s="5"/>
    </row>
    <row r="8369">
      <c r="A8369" s="3" t="s">
        <v>8047</v>
      </c>
      <c r="B8369" s="3" t="s">
        <v>8047</v>
      </c>
      <c r="C8369" s="3" t="s">
        <v>8110</v>
      </c>
      <c r="D8369" s="4" t="str">
        <f t="shared" si="860"/>
        <v>12Go Link</v>
      </c>
      <c r="E8369" s="3" t="s">
        <v>8111</v>
      </c>
      <c r="K8369" s="5"/>
    </row>
    <row r="8370">
      <c r="A8370" s="3" t="s">
        <v>8047</v>
      </c>
      <c r="B8370" s="3" t="s">
        <v>8047</v>
      </c>
      <c r="C8370" s="3" t="s">
        <v>8110</v>
      </c>
      <c r="D8370" s="4" t="str">
        <f t="shared" si="860"/>
        <v>12Go Link</v>
      </c>
      <c r="E8370" s="3" t="s">
        <v>3197</v>
      </c>
      <c r="K8370" s="5"/>
    </row>
    <row r="8371">
      <c r="A8371" s="3" t="s">
        <v>8047</v>
      </c>
      <c r="B8371" s="3" t="s">
        <v>8047</v>
      </c>
      <c r="C8371" s="3" t="s">
        <v>8112</v>
      </c>
      <c r="D8371" s="4" t="str">
        <f t="shared" ref="D8371:D8373" si="861">HYPERLINK("https://12go.asia/en/travel/Chiang-Mai-Airport/Chiang-Mai-Old-City-Transfer", "12Go Link")</f>
        <v>12Go Link</v>
      </c>
      <c r="E8371" s="3" t="s">
        <v>222</v>
      </c>
      <c r="K8371" s="5"/>
    </row>
    <row r="8372">
      <c r="A8372" s="3" t="s">
        <v>8047</v>
      </c>
      <c r="B8372" s="3" t="s">
        <v>8047</v>
      </c>
      <c r="C8372" s="3" t="s">
        <v>8112</v>
      </c>
      <c r="D8372" s="4" t="str">
        <f t="shared" si="861"/>
        <v>12Go Link</v>
      </c>
      <c r="E8372" s="3" t="s">
        <v>8111</v>
      </c>
      <c r="K8372" s="5"/>
    </row>
    <row r="8373">
      <c r="A8373" s="3" t="s">
        <v>8047</v>
      </c>
      <c r="B8373" s="3" t="s">
        <v>8047</v>
      </c>
      <c r="C8373" s="3" t="s">
        <v>8112</v>
      </c>
      <c r="D8373" s="4" t="str">
        <f t="shared" si="861"/>
        <v>12Go Link</v>
      </c>
      <c r="E8373" s="3" t="s">
        <v>3197</v>
      </c>
      <c r="K8373" s="5"/>
    </row>
    <row r="8374">
      <c r="A8374" s="3" t="s">
        <v>8047</v>
      </c>
      <c r="B8374" s="3" t="s">
        <v>8047</v>
      </c>
      <c r="C8374" s="3" t="s">
        <v>8113</v>
      </c>
      <c r="D8374" s="4" t="str">
        <f t="shared" ref="D8374:D8376" si="862">HYPERLINK("https://12go.asia/en/travel/Chiang-Mai-City-Transfer/Chiang-Mai-Airport", "12Go Link")</f>
        <v>12Go Link</v>
      </c>
      <c r="E8374" s="3" t="s">
        <v>222</v>
      </c>
      <c r="K8374" s="5"/>
    </row>
    <row r="8375">
      <c r="A8375" s="3" t="s">
        <v>8047</v>
      </c>
      <c r="B8375" s="3" t="s">
        <v>8047</v>
      </c>
      <c r="C8375" s="3" t="s">
        <v>8113</v>
      </c>
      <c r="D8375" s="4" t="str">
        <f t="shared" si="862"/>
        <v>12Go Link</v>
      </c>
      <c r="E8375" s="3" t="s">
        <v>8111</v>
      </c>
      <c r="K8375" s="5"/>
    </row>
    <row r="8376">
      <c r="A8376" s="3" t="s">
        <v>8047</v>
      </c>
      <c r="B8376" s="3" t="s">
        <v>8047</v>
      </c>
      <c r="C8376" s="3" t="s">
        <v>8113</v>
      </c>
      <c r="D8376" s="4" t="str">
        <f t="shared" si="862"/>
        <v>12Go Link</v>
      </c>
      <c r="E8376" s="3" t="s">
        <v>3197</v>
      </c>
      <c r="K8376" s="5"/>
    </row>
    <row r="8377">
      <c r="A8377" s="3" t="s">
        <v>8047</v>
      </c>
      <c r="B8377" s="3" t="s">
        <v>8047</v>
      </c>
      <c r="C8377" s="3" t="s">
        <v>8114</v>
      </c>
      <c r="D8377" s="4" t="str">
        <f t="shared" ref="D8377:D8379" si="863">HYPERLINK("https://12go.asia/en/travel/Chiang-Mai-City-Transfer/Chiang-Mai-Night-Safari", "12Go Link")</f>
        <v>12Go Link</v>
      </c>
      <c r="E8377" s="3" t="s">
        <v>222</v>
      </c>
      <c r="K8377" s="5"/>
    </row>
    <row r="8378">
      <c r="A8378" s="3" t="s">
        <v>8047</v>
      </c>
      <c r="B8378" s="3" t="s">
        <v>8047</v>
      </c>
      <c r="C8378" s="3" t="s">
        <v>8114</v>
      </c>
      <c r="D8378" s="4" t="str">
        <f t="shared" si="863"/>
        <v>12Go Link</v>
      </c>
      <c r="E8378" s="3" t="s">
        <v>8111</v>
      </c>
      <c r="K8378" s="5"/>
    </row>
    <row r="8379">
      <c r="A8379" s="3" t="s">
        <v>8047</v>
      </c>
      <c r="B8379" s="3" t="s">
        <v>8047</v>
      </c>
      <c r="C8379" s="3" t="s">
        <v>8114</v>
      </c>
      <c r="D8379" s="4" t="str">
        <f t="shared" si="863"/>
        <v>12Go Link</v>
      </c>
      <c r="E8379" s="3" t="s">
        <v>3197</v>
      </c>
      <c r="K8379" s="5"/>
    </row>
    <row r="8380">
      <c r="A8380" s="3" t="s">
        <v>8047</v>
      </c>
      <c r="B8380" s="3" t="s">
        <v>8047</v>
      </c>
      <c r="C8380" s="3" t="s">
        <v>8115</v>
      </c>
      <c r="D8380" s="4" t="str">
        <f t="shared" ref="D8380:D8382" si="864">HYPERLINK("https://12go.asia/en/travel/Chiang-Mai-City-Transfer/Chiang-Mai-Zoo", "12Go Link")</f>
        <v>12Go Link</v>
      </c>
      <c r="E8380" s="3" t="s">
        <v>222</v>
      </c>
      <c r="K8380" s="5"/>
    </row>
    <row r="8381">
      <c r="A8381" s="3" t="s">
        <v>8047</v>
      </c>
      <c r="B8381" s="3" t="s">
        <v>8047</v>
      </c>
      <c r="C8381" s="3" t="s">
        <v>8115</v>
      </c>
      <c r="D8381" s="4" t="str">
        <f t="shared" si="864"/>
        <v>12Go Link</v>
      </c>
      <c r="E8381" s="3" t="s">
        <v>8111</v>
      </c>
      <c r="K8381" s="5"/>
    </row>
    <row r="8382">
      <c r="A8382" s="3" t="s">
        <v>8047</v>
      </c>
      <c r="B8382" s="3" t="s">
        <v>8047</v>
      </c>
      <c r="C8382" s="3" t="s">
        <v>8115</v>
      </c>
      <c r="D8382" s="4" t="str">
        <f t="shared" si="864"/>
        <v>12Go Link</v>
      </c>
      <c r="E8382" s="3" t="s">
        <v>3197</v>
      </c>
      <c r="K8382" s="5"/>
    </row>
    <row r="8383">
      <c r="A8383" s="3" t="s">
        <v>8047</v>
      </c>
      <c r="B8383" s="3" t="s">
        <v>8047</v>
      </c>
      <c r="C8383" s="3" t="s">
        <v>8116</v>
      </c>
      <c r="D8383" s="4" t="str">
        <f t="shared" ref="D8383:D8385" si="865">HYPERLINK("https://12go.asia/en/travel/Chiang-Mai-City-Transfer/Doi-Ang-Khang", "12Go Link")</f>
        <v>12Go Link</v>
      </c>
      <c r="E8383" s="3" t="s">
        <v>222</v>
      </c>
      <c r="K8383" s="5"/>
    </row>
    <row r="8384">
      <c r="A8384" s="3" t="s">
        <v>8047</v>
      </c>
      <c r="B8384" s="3" t="s">
        <v>8047</v>
      </c>
      <c r="C8384" s="3" t="s">
        <v>8116</v>
      </c>
      <c r="D8384" s="4" t="str">
        <f t="shared" si="865"/>
        <v>12Go Link</v>
      </c>
      <c r="E8384" s="3" t="s">
        <v>8111</v>
      </c>
      <c r="K8384" s="5"/>
    </row>
    <row r="8385">
      <c r="A8385" s="3" t="s">
        <v>8047</v>
      </c>
      <c r="B8385" s="3" t="s">
        <v>8047</v>
      </c>
      <c r="C8385" s="3" t="s">
        <v>8116</v>
      </c>
      <c r="D8385" s="4" t="str">
        <f t="shared" si="865"/>
        <v>12Go Link</v>
      </c>
      <c r="E8385" s="3" t="s">
        <v>3197</v>
      </c>
      <c r="K8385" s="5"/>
    </row>
    <row r="8386">
      <c r="A8386" s="3" t="s">
        <v>8047</v>
      </c>
      <c r="B8386" s="3" t="s">
        <v>8047</v>
      </c>
      <c r="C8386" s="3" t="s">
        <v>8117</v>
      </c>
      <c r="D8386" s="4" t="str">
        <f t="shared" ref="D8386:D8388" si="866">HYPERLINK("https://12go.asia/en/travel/Chiang-Mai-City-Transfer/Doi-Inthanon", "12Go Link")</f>
        <v>12Go Link</v>
      </c>
      <c r="E8386" s="3" t="s">
        <v>222</v>
      </c>
      <c r="K8386" s="5"/>
    </row>
    <row r="8387">
      <c r="A8387" s="3" t="s">
        <v>8047</v>
      </c>
      <c r="B8387" s="3" t="s">
        <v>8047</v>
      </c>
      <c r="C8387" s="3" t="s">
        <v>8117</v>
      </c>
      <c r="D8387" s="4" t="str">
        <f t="shared" si="866"/>
        <v>12Go Link</v>
      </c>
      <c r="E8387" s="3" t="s">
        <v>8111</v>
      </c>
      <c r="K8387" s="5"/>
    </row>
    <row r="8388">
      <c r="A8388" s="3" t="s">
        <v>8047</v>
      </c>
      <c r="B8388" s="3" t="s">
        <v>8047</v>
      </c>
      <c r="C8388" s="3" t="s">
        <v>8117</v>
      </c>
      <c r="D8388" s="4" t="str">
        <f t="shared" si="866"/>
        <v>12Go Link</v>
      </c>
      <c r="E8388" s="3" t="s">
        <v>3197</v>
      </c>
      <c r="K8388" s="5"/>
    </row>
    <row r="8389">
      <c r="A8389" s="3" t="s">
        <v>8047</v>
      </c>
      <c r="B8389" s="3" t="s">
        <v>8047</v>
      </c>
      <c r="C8389" s="3" t="s">
        <v>8118</v>
      </c>
      <c r="D8389" s="4" t="str">
        <f t="shared" ref="D8389:D8391" si="867">HYPERLINK("https://12go.asia/en/travel/Chiang-Mai-City-Transfer/Doi-Suthep", "12Go Link")</f>
        <v>12Go Link</v>
      </c>
      <c r="E8389" s="3" t="s">
        <v>222</v>
      </c>
      <c r="K8389" s="5"/>
    </row>
    <row r="8390">
      <c r="A8390" s="3" t="s">
        <v>8047</v>
      </c>
      <c r="B8390" s="3" t="s">
        <v>8047</v>
      </c>
      <c r="C8390" s="3" t="s">
        <v>8118</v>
      </c>
      <c r="D8390" s="4" t="str">
        <f t="shared" si="867"/>
        <v>12Go Link</v>
      </c>
      <c r="E8390" s="3" t="s">
        <v>8111</v>
      </c>
      <c r="K8390" s="5"/>
    </row>
    <row r="8391">
      <c r="A8391" s="3" t="s">
        <v>8047</v>
      </c>
      <c r="B8391" s="3" t="s">
        <v>8047</v>
      </c>
      <c r="C8391" s="3" t="s">
        <v>8118</v>
      </c>
      <c r="D8391" s="4" t="str">
        <f t="shared" si="867"/>
        <v>12Go Link</v>
      </c>
      <c r="E8391" s="3" t="s">
        <v>3197</v>
      </c>
      <c r="K8391" s="5"/>
    </row>
    <row r="8392">
      <c r="A8392" s="3" t="s">
        <v>8047</v>
      </c>
      <c r="B8392" s="3" t="s">
        <v>8047</v>
      </c>
      <c r="C8392" s="3" t="s">
        <v>8119</v>
      </c>
      <c r="D8392" s="4" t="str">
        <f t="shared" ref="D8392:D8394" si="868">HYPERLINK("https://12go.asia/en/travel/Chiang-Mai-City-Transfer/Elephant-Safari", "12Go Link")</f>
        <v>12Go Link</v>
      </c>
      <c r="E8392" s="3" t="s">
        <v>222</v>
      </c>
      <c r="K8392" s="5"/>
    </row>
    <row r="8393">
      <c r="A8393" s="3" t="s">
        <v>8047</v>
      </c>
      <c r="B8393" s="3" t="s">
        <v>8047</v>
      </c>
      <c r="C8393" s="3" t="s">
        <v>8119</v>
      </c>
      <c r="D8393" s="4" t="str">
        <f t="shared" si="868"/>
        <v>12Go Link</v>
      </c>
      <c r="E8393" s="3" t="s">
        <v>8111</v>
      </c>
      <c r="K8393" s="5"/>
    </row>
    <row r="8394">
      <c r="A8394" s="3" t="s">
        <v>8047</v>
      </c>
      <c r="B8394" s="3" t="s">
        <v>8047</v>
      </c>
      <c r="C8394" s="3" t="s">
        <v>8119</v>
      </c>
      <c r="D8394" s="4" t="str">
        <f t="shared" si="868"/>
        <v>12Go Link</v>
      </c>
      <c r="E8394" s="3" t="s">
        <v>3197</v>
      </c>
      <c r="K8394" s="5"/>
    </row>
    <row r="8395">
      <c r="A8395" s="3" t="s">
        <v>8047</v>
      </c>
      <c r="B8395" s="3" t="s">
        <v>8047</v>
      </c>
      <c r="C8395" s="3" t="s">
        <v>8120</v>
      </c>
      <c r="D8395" s="4" t="str">
        <f t="shared" ref="D8395:D8397" si="869">HYPERLINK("https://12go.asia/en/travel/Chiang-Mai-City-Transfer/Sankhampang-Hotel-Transfer", "12Go Link")</f>
        <v>12Go Link</v>
      </c>
      <c r="E8395" s="3" t="s">
        <v>222</v>
      </c>
      <c r="K8395" s="5"/>
    </row>
    <row r="8396">
      <c r="A8396" s="3" t="s">
        <v>8047</v>
      </c>
      <c r="B8396" s="3" t="s">
        <v>8047</v>
      </c>
      <c r="C8396" s="3" t="s">
        <v>8120</v>
      </c>
      <c r="D8396" s="4" t="str">
        <f t="shared" si="869"/>
        <v>12Go Link</v>
      </c>
      <c r="E8396" s="3" t="s">
        <v>8111</v>
      </c>
      <c r="K8396" s="5"/>
    </row>
    <row r="8397">
      <c r="A8397" s="3" t="s">
        <v>8047</v>
      </c>
      <c r="B8397" s="3" t="s">
        <v>8047</v>
      </c>
      <c r="C8397" s="3" t="s">
        <v>8120</v>
      </c>
      <c r="D8397" s="4" t="str">
        <f t="shared" si="869"/>
        <v>12Go Link</v>
      </c>
      <c r="E8397" s="3" t="s">
        <v>3197</v>
      </c>
      <c r="K8397" s="5"/>
    </row>
    <row r="8398">
      <c r="A8398" s="3" t="s">
        <v>8047</v>
      </c>
      <c r="B8398" s="3" t="s">
        <v>8047</v>
      </c>
      <c r="C8398" s="3" t="s">
        <v>8121</v>
      </c>
      <c r="D8398" s="4" t="str">
        <f t="shared" ref="D8398:D8400" si="870">HYPERLINK("https://12go.asia/en/travel/Chiang-Mai-City-Transfer/Sticky-Waterfall", "12Go Link")</f>
        <v>12Go Link</v>
      </c>
      <c r="E8398" s="3" t="s">
        <v>222</v>
      </c>
      <c r="K8398" s="5"/>
    </row>
    <row r="8399">
      <c r="A8399" s="3" t="s">
        <v>8047</v>
      </c>
      <c r="B8399" s="3" t="s">
        <v>8047</v>
      </c>
      <c r="C8399" s="3" t="s">
        <v>8121</v>
      </c>
      <c r="D8399" s="4" t="str">
        <f t="shared" si="870"/>
        <v>12Go Link</v>
      </c>
      <c r="E8399" s="3" t="s">
        <v>8111</v>
      </c>
      <c r="K8399" s="5"/>
    </row>
    <row r="8400">
      <c r="A8400" s="3" t="s">
        <v>8047</v>
      </c>
      <c r="B8400" s="3" t="s">
        <v>8047</v>
      </c>
      <c r="C8400" s="3" t="s">
        <v>8121</v>
      </c>
      <c r="D8400" s="4" t="str">
        <f t="shared" si="870"/>
        <v>12Go Link</v>
      </c>
      <c r="E8400" s="3" t="s">
        <v>3197</v>
      </c>
      <c r="K8400" s="5"/>
    </row>
    <row r="8401">
      <c r="A8401" s="3" t="s">
        <v>8047</v>
      </c>
      <c r="B8401" s="3" t="s">
        <v>8047</v>
      </c>
      <c r="C8401" s="3" t="s">
        <v>8122</v>
      </c>
      <c r="D8401" s="4" t="str">
        <f t="shared" ref="D8401:D8403" si="871">HYPERLINK("https://12go.asia/en/travel/Chiang-Mai-City-Transfer/Tube-Trek-Waterpark", "12Go Link")</f>
        <v>12Go Link</v>
      </c>
      <c r="E8401" s="3" t="s">
        <v>222</v>
      </c>
      <c r="K8401" s="5"/>
    </row>
    <row r="8402">
      <c r="A8402" s="3" t="s">
        <v>8047</v>
      </c>
      <c r="B8402" s="3" t="s">
        <v>8047</v>
      </c>
      <c r="C8402" s="3" t="s">
        <v>8122</v>
      </c>
      <c r="D8402" s="4" t="str">
        <f t="shared" si="871"/>
        <v>12Go Link</v>
      </c>
      <c r="E8402" s="3" t="s">
        <v>8111</v>
      </c>
      <c r="K8402" s="5"/>
    </row>
    <row r="8403">
      <c r="A8403" s="3" t="s">
        <v>8047</v>
      </c>
      <c r="B8403" s="3" t="s">
        <v>8047</v>
      </c>
      <c r="C8403" s="3" t="s">
        <v>8122</v>
      </c>
      <c r="D8403" s="4" t="str">
        <f t="shared" si="871"/>
        <v>12Go Link</v>
      </c>
      <c r="E8403" s="3" t="s">
        <v>3197</v>
      </c>
      <c r="K8403" s="5"/>
    </row>
    <row r="8404">
      <c r="A8404" s="3" t="s">
        <v>8047</v>
      </c>
      <c r="B8404" s="3" t="s">
        <v>8047</v>
      </c>
      <c r="C8404" s="3" t="s">
        <v>8123</v>
      </c>
      <c r="D8404" s="4" t="str">
        <f t="shared" ref="D8404:D8406" si="872">HYPERLINK("https://12go.asia/en/travel/Chiang-Mai-City-Transfer/Wat-Ban-Den", "12Go Link")</f>
        <v>12Go Link</v>
      </c>
      <c r="E8404" s="3" t="s">
        <v>222</v>
      </c>
      <c r="K8404" s="5"/>
    </row>
    <row r="8405">
      <c r="A8405" s="3" t="s">
        <v>8047</v>
      </c>
      <c r="B8405" s="3" t="s">
        <v>8047</v>
      </c>
      <c r="C8405" s="3" t="s">
        <v>8123</v>
      </c>
      <c r="D8405" s="4" t="str">
        <f t="shared" si="872"/>
        <v>12Go Link</v>
      </c>
      <c r="E8405" s="3" t="s">
        <v>8111</v>
      </c>
      <c r="K8405" s="5"/>
    </row>
    <row r="8406">
      <c r="A8406" s="3" t="s">
        <v>8047</v>
      </c>
      <c r="B8406" s="3" t="s">
        <v>8047</v>
      </c>
      <c r="C8406" s="3" t="s">
        <v>8123</v>
      </c>
      <c r="D8406" s="4" t="str">
        <f t="shared" si="872"/>
        <v>12Go Link</v>
      </c>
      <c r="E8406" s="3" t="s">
        <v>3197</v>
      </c>
      <c r="K8406" s="5"/>
    </row>
    <row r="8407">
      <c r="A8407" s="3" t="s">
        <v>8047</v>
      </c>
      <c r="B8407" s="3" t="s">
        <v>8047</v>
      </c>
      <c r="C8407" s="3" t="s">
        <v>8124</v>
      </c>
      <c r="D8407" s="4" t="str">
        <f t="shared" ref="D8407:D8409" si="873">HYPERLINK("https://12go.asia/en/travel/Chiang-Mai-City-Transfer/Wat-Tham-Chiang-Dao", "12Go Link")</f>
        <v>12Go Link</v>
      </c>
      <c r="E8407" s="3" t="s">
        <v>222</v>
      </c>
      <c r="K8407" s="5"/>
    </row>
    <row r="8408">
      <c r="A8408" s="3" t="s">
        <v>8047</v>
      </c>
      <c r="B8408" s="3" t="s">
        <v>8047</v>
      </c>
      <c r="C8408" s="3" t="s">
        <v>8124</v>
      </c>
      <c r="D8408" s="4" t="str">
        <f t="shared" si="873"/>
        <v>12Go Link</v>
      </c>
      <c r="E8408" s="3" t="s">
        <v>8111</v>
      </c>
      <c r="K8408" s="5"/>
    </row>
    <row r="8409">
      <c r="A8409" s="3" t="s">
        <v>8047</v>
      </c>
      <c r="B8409" s="3" t="s">
        <v>8047</v>
      </c>
      <c r="C8409" s="3" t="s">
        <v>8124</v>
      </c>
      <c r="D8409" s="4" t="str">
        <f t="shared" si="873"/>
        <v>12Go Link</v>
      </c>
      <c r="E8409" s="3" t="s">
        <v>3197</v>
      </c>
      <c r="K8409" s="5"/>
    </row>
    <row r="8410">
      <c r="A8410" s="3" t="s">
        <v>8047</v>
      </c>
      <c r="B8410" s="3" t="s">
        <v>8047</v>
      </c>
      <c r="C8410" s="3" t="s">
        <v>8125</v>
      </c>
      <c r="D8410" s="4" t="str">
        <f t="shared" ref="D8410:D8412" si="874">HYPERLINK("https://12go.asia/en/travel/Chiang-Mai-Old-City-Transfer/Chiang-Mai-Airport", "12Go Link")</f>
        <v>12Go Link</v>
      </c>
      <c r="E8410" s="3" t="s">
        <v>222</v>
      </c>
      <c r="K8410" s="5"/>
    </row>
    <row r="8411">
      <c r="A8411" s="3" t="s">
        <v>8047</v>
      </c>
      <c r="B8411" s="3" t="s">
        <v>8047</v>
      </c>
      <c r="C8411" s="3" t="s">
        <v>8125</v>
      </c>
      <c r="D8411" s="4" t="str">
        <f t="shared" si="874"/>
        <v>12Go Link</v>
      </c>
      <c r="E8411" s="3" t="s">
        <v>8111</v>
      </c>
      <c r="K8411" s="5"/>
    </row>
    <row r="8412">
      <c r="A8412" s="3" t="s">
        <v>8047</v>
      </c>
      <c r="B8412" s="3" t="s">
        <v>8047</v>
      </c>
      <c r="C8412" s="3" t="s">
        <v>8125</v>
      </c>
      <c r="D8412" s="4" t="str">
        <f t="shared" si="874"/>
        <v>12Go Link</v>
      </c>
      <c r="E8412" s="3" t="s">
        <v>3197</v>
      </c>
      <c r="K8412" s="5"/>
    </row>
    <row r="8413">
      <c r="A8413" s="3" t="s">
        <v>8047</v>
      </c>
      <c r="B8413" s="3" t="s">
        <v>8047</v>
      </c>
      <c r="C8413" s="3" t="s">
        <v>8126</v>
      </c>
      <c r="D8413" s="4" t="str">
        <f>HYPERLINK("https://12go.asia/en/travel/Mae-Sa-Elephant-Camp/Talad-Warorot", "12Go Link")</f>
        <v>12Go Link</v>
      </c>
      <c r="E8413" s="3" t="s">
        <v>8127</v>
      </c>
      <c r="K8413" s="5"/>
    </row>
    <row r="8414">
      <c r="A8414" s="3" t="s">
        <v>8047</v>
      </c>
      <c r="B8414" s="3" t="s">
        <v>8047</v>
      </c>
      <c r="C8414" s="3" t="s">
        <v>8128</v>
      </c>
      <c r="D8414" s="4" t="str">
        <f>HYPERLINK("https://12go.asia/en/travel/Mae-Sa-Waterfall/Pong-Yaeng-Jungle", "12Go Link")</f>
        <v>12Go Link</v>
      </c>
      <c r="E8414" s="3" t="s">
        <v>8127</v>
      </c>
      <c r="K8414" s="5"/>
    </row>
    <row r="8415">
      <c r="A8415" s="3" t="s">
        <v>8047</v>
      </c>
      <c r="B8415" s="3" t="s">
        <v>8047</v>
      </c>
      <c r="C8415" s="3" t="s">
        <v>8129</v>
      </c>
      <c r="D8415" s="4" t="str">
        <f>HYPERLINK("https://12go.asia/en/travel/Mae-Sa-Waterfall/Talad-Warorot", "12Go Link")</f>
        <v>12Go Link</v>
      </c>
      <c r="E8415" s="3" t="s">
        <v>8127</v>
      </c>
      <c r="K8415" s="5"/>
    </row>
    <row r="8416">
      <c r="A8416" s="3" t="s">
        <v>8047</v>
      </c>
      <c r="B8416" s="3" t="s">
        <v>8047</v>
      </c>
      <c r="C8416" s="3" t="s">
        <v>8130</v>
      </c>
      <c r="D8416" s="4" t="str">
        <f>HYPERLINK("https://12go.asia/en/travel/Pong-Yaeng-Jungle/Talad-Warorot", "12Go Link")</f>
        <v>12Go Link</v>
      </c>
      <c r="E8416" s="3" t="s">
        <v>8127</v>
      </c>
      <c r="K8416" s="5"/>
    </row>
    <row r="8417">
      <c r="A8417" s="3" t="s">
        <v>8047</v>
      </c>
      <c r="B8417" s="3" t="s">
        <v>8047</v>
      </c>
      <c r="C8417" s="3" t="s">
        <v>8131</v>
      </c>
      <c r="D8417" s="4" t="str">
        <f>HYPERLINK("https://12go.asia/en/travel/Queen-Sirikit-Botanic-Garden/Talad-Warorot", "12Go Link")</f>
        <v>12Go Link</v>
      </c>
      <c r="E8417" s="3" t="s">
        <v>8127</v>
      </c>
      <c r="K8417" s="5"/>
    </row>
    <row r="8418">
      <c r="A8418" s="3" t="s">
        <v>8047</v>
      </c>
      <c r="B8418" s="3" t="s">
        <v>8047</v>
      </c>
      <c r="C8418" s="3" t="s">
        <v>8132</v>
      </c>
      <c r="D8418" s="4" t="str">
        <f>HYPERLINK("https://12go.asia/en/travel/Talad-Warorot/Mae-Sa-Elephant-Camp", "12Go Link")</f>
        <v>12Go Link</v>
      </c>
      <c r="E8418" s="3" t="s">
        <v>8127</v>
      </c>
      <c r="K8418" s="5"/>
    </row>
    <row r="8419">
      <c r="A8419" s="3" t="s">
        <v>8047</v>
      </c>
      <c r="B8419" s="3" t="s">
        <v>8047</v>
      </c>
      <c r="C8419" s="3" t="s">
        <v>8133</v>
      </c>
      <c r="D8419" s="4" t="str">
        <f>HYPERLINK("https://12go.asia/en/travel/Tiger-Kingdom/Talad-Warorot", "12Go Link")</f>
        <v>12Go Link</v>
      </c>
      <c r="E8419" s="3" t="s">
        <v>8127</v>
      </c>
      <c r="K8419" s="5"/>
    </row>
    <row r="8420">
      <c r="A8420" s="3" t="s">
        <v>8047</v>
      </c>
      <c r="B8420" s="3" t="s">
        <v>8049</v>
      </c>
      <c r="C8420" s="3" t="s">
        <v>8134</v>
      </c>
      <c r="D8420" s="4" t="str">
        <f t="shared" ref="D8420:D8422" si="875">HYPERLINK("https://12go.asia/en/travel/Chiang-Mai-City-Transfer/Chiang-Rai-Transfer", "12Go Link")</f>
        <v>12Go Link</v>
      </c>
      <c r="E8420" s="3" t="s">
        <v>222</v>
      </c>
      <c r="K8420" s="5"/>
    </row>
    <row r="8421">
      <c r="A8421" s="3" t="s">
        <v>8047</v>
      </c>
      <c r="B8421" s="3" t="s">
        <v>8049</v>
      </c>
      <c r="C8421" s="3" t="s">
        <v>8134</v>
      </c>
      <c r="D8421" s="4" t="str">
        <f t="shared" si="875"/>
        <v>12Go Link</v>
      </c>
      <c r="E8421" s="3" t="s">
        <v>8111</v>
      </c>
      <c r="K8421" s="5"/>
    </row>
    <row r="8422">
      <c r="A8422" s="3" t="s">
        <v>8047</v>
      </c>
      <c r="B8422" s="3" t="s">
        <v>8049</v>
      </c>
      <c r="C8422" s="3" t="s">
        <v>8134</v>
      </c>
      <c r="D8422" s="4" t="str">
        <f t="shared" si="875"/>
        <v>12Go Link</v>
      </c>
      <c r="E8422" s="3" t="s">
        <v>3197</v>
      </c>
      <c r="K8422" s="5"/>
    </row>
    <row r="8423">
      <c r="A8423" s="3" t="s">
        <v>8047</v>
      </c>
      <c r="B8423" s="3" t="s">
        <v>8049</v>
      </c>
      <c r="C8423" s="3" t="s">
        <v>8135</v>
      </c>
      <c r="D8423" s="4" t="str">
        <f t="shared" ref="D8423:D8425" si="876">HYPERLINK("https://12go.asia/en/travel/Chiang-Mai-Town-Hotel-Transfer/Chiang-Khong-Transfer", "12Go Link")</f>
        <v>12Go Link</v>
      </c>
      <c r="E8423" s="3" t="s">
        <v>222</v>
      </c>
      <c r="K8423" s="5"/>
    </row>
    <row r="8424">
      <c r="A8424" s="3" t="s">
        <v>8047</v>
      </c>
      <c r="B8424" s="3" t="s">
        <v>8049</v>
      </c>
      <c r="C8424" s="3" t="s">
        <v>8135</v>
      </c>
      <c r="D8424" s="4" t="str">
        <f t="shared" si="876"/>
        <v>12Go Link</v>
      </c>
      <c r="E8424" s="3" t="s">
        <v>8136</v>
      </c>
      <c r="K8424" s="5"/>
    </row>
    <row r="8425">
      <c r="A8425" s="3" t="s">
        <v>8047</v>
      </c>
      <c r="B8425" s="3" t="s">
        <v>8049</v>
      </c>
      <c r="C8425" s="3" t="s">
        <v>8135</v>
      </c>
      <c r="D8425" s="4" t="str">
        <f t="shared" si="876"/>
        <v>12Go Link</v>
      </c>
      <c r="E8425" s="3" t="s">
        <v>8137</v>
      </c>
      <c r="K8425" s="5"/>
    </row>
    <row r="8426">
      <c r="A8426" s="3" t="s">
        <v>8047</v>
      </c>
      <c r="B8426" s="3" t="s">
        <v>8138</v>
      </c>
      <c r="C8426" s="3" t="s">
        <v>8139</v>
      </c>
      <c r="D8426" s="4" t="str">
        <f t="shared" ref="D8426:D8428" si="877">HYPERLINK("https://12go.asia/en/travel/Chiang-Mai-City-Transfer/Lampang-Hotel-Transfer", "12Go Link")</f>
        <v>12Go Link</v>
      </c>
      <c r="E8426" s="3" t="s">
        <v>222</v>
      </c>
      <c r="K8426" s="5"/>
    </row>
    <row r="8427">
      <c r="A8427" s="3" t="s">
        <v>8047</v>
      </c>
      <c r="B8427" s="3" t="s">
        <v>8138</v>
      </c>
      <c r="C8427" s="3" t="s">
        <v>8139</v>
      </c>
      <c r="D8427" s="4" t="str">
        <f t="shared" si="877"/>
        <v>12Go Link</v>
      </c>
      <c r="E8427" s="3" t="s">
        <v>8111</v>
      </c>
      <c r="K8427" s="5"/>
    </row>
    <row r="8428">
      <c r="A8428" s="3" t="s">
        <v>8047</v>
      </c>
      <c r="B8428" s="3" t="s">
        <v>8138</v>
      </c>
      <c r="C8428" s="3" t="s">
        <v>8139</v>
      </c>
      <c r="D8428" s="4" t="str">
        <f t="shared" si="877"/>
        <v>12Go Link</v>
      </c>
      <c r="E8428" s="3" t="s">
        <v>3197</v>
      </c>
      <c r="K8428" s="5"/>
    </row>
    <row r="8429">
      <c r="A8429" s="3" t="s">
        <v>8047</v>
      </c>
      <c r="B8429" s="3" t="s">
        <v>8140</v>
      </c>
      <c r="C8429" s="3" t="s">
        <v>8141</v>
      </c>
      <c r="D8429" s="4" t="str">
        <f t="shared" ref="D8429:D8431" si="878">HYPERLINK("https://12go.asia/en/travel/Chiang-Mai-City-Transfer/Mae-Sai", "12Go Link")</f>
        <v>12Go Link</v>
      </c>
      <c r="E8429" s="3" t="s">
        <v>222</v>
      </c>
      <c r="K8429" s="5"/>
    </row>
    <row r="8430">
      <c r="A8430" s="3" t="s">
        <v>8047</v>
      </c>
      <c r="B8430" s="3" t="s">
        <v>8140</v>
      </c>
      <c r="C8430" s="3" t="s">
        <v>8141</v>
      </c>
      <c r="D8430" s="4" t="str">
        <f t="shared" si="878"/>
        <v>12Go Link</v>
      </c>
      <c r="E8430" s="3" t="s">
        <v>8111</v>
      </c>
      <c r="K8430" s="5"/>
    </row>
    <row r="8431">
      <c r="A8431" s="3" t="s">
        <v>8047</v>
      </c>
      <c r="B8431" s="3" t="s">
        <v>8140</v>
      </c>
      <c r="C8431" s="3" t="s">
        <v>8141</v>
      </c>
      <c r="D8431" s="4" t="str">
        <f t="shared" si="878"/>
        <v>12Go Link</v>
      </c>
      <c r="E8431" s="3" t="s">
        <v>3197</v>
      </c>
      <c r="K8431" s="5"/>
    </row>
    <row r="8432">
      <c r="A8432" s="3" t="s">
        <v>8047</v>
      </c>
      <c r="B8432" s="3" t="s">
        <v>8142</v>
      </c>
      <c r="C8432" s="3" t="s">
        <v>8143</v>
      </c>
      <c r="D8432" s="4" t="str">
        <f t="shared" ref="D8432:D8434" si="879">HYPERLINK("https://12go.asia/en/travel/Chiang-Mai-City-Transfer/Nan-Hotel-Transfer", "12Go Link")</f>
        <v>12Go Link</v>
      </c>
      <c r="E8432" s="3" t="s">
        <v>222</v>
      </c>
      <c r="K8432" s="5"/>
    </row>
    <row r="8433">
      <c r="A8433" s="3" t="s">
        <v>8047</v>
      </c>
      <c r="B8433" s="3" t="s">
        <v>8142</v>
      </c>
      <c r="C8433" s="3" t="s">
        <v>8143</v>
      </c>
      <c r="D8433" s="4" t="str">
        <f t="shared" si="879"/>
        <v>12Go Link</v>
      </c>
      <c r="E8433" s="3" t="s">
        <v>8111</v>
      </c>
      <c r="K8433" s="5"/>
    </row>
    <row r="8434">
      <c r="A8434" s="3" t="s">
        <v>8047</v>
      </c>
      <c r="B8434" s="3" t="s">
        <v>8142</v>
      </c>
      <c r="C8434" s="3" t="s">
        <v>8143</v>
      </c>
      <c r="D8434" s="4" t="str">
        <f t="shared" si="879"/>
        <v>12Go Link</v>
      </c>
      <c r="E8434" s="3" t="s">
        <v>3197</v>
      </c>
      <c r="K8434" s="5"/>
    </row>
    <row r="8435">
      <c r="A8435" s="3" t="s">
        <v>8047</v>
      </c>
      <c r="B8435" s="3" t="s">
        <v>8080</v>
      </c>
      <c r="C8435" s="3" t="s">
        <v>8144</v>
      </c>
      <c r="D8435" s="4" t="str">
        <f t="shared" ref="D8435:D8437" si="880">HYPERLINK("https://12go.asia/en/travel/Chiang-Mai-City-Transfer/Pai-Hotel-Transfer", "12Go Link")</f>
        <v>12Go Link</v>
      </c>
      <c r="E8435" s="3" t="s">
        <v>222</v>
      </c>
      <c r="K8435" s="5"/>
    </row>
    <row r="8436">
      <c r="A8436" s="3" t="s">
        <v>8047</v>
      </c>
      <c r="B8436" s="3" t="s">
        <v>8080</v>
      </c>
      <c r="C8436" s="3" t="s">
        <v>8144</v>
      </c>
      <c r="D8436" s="4" t="str">
        <f t="shared" si="880"/>
        <v>12Go Link</v>
      </c>
      <c r="E8436" s="3" t="s">
        <v>8111</v>
      </c>
      <c r="K8436" s="5"/>
    </row>
    <row r="8437">
      <c r="A8437" s="3" t="s">
        <v>8047</v>
      </c>
      <c r="B8437" s="3" t="s">
        <v>8080</v>
      </c>
      <c r="C8437" s="3" t="s">
        <v>8144</v>
      </c>
      <c r="D8437" s="4" t="str">
        <f t="shared" si="880"/>
        <v>12Go Link</v>
      </c>
      <c r="E8437" s="3" t="s">
        <v>3197</v>
      </c>
      <c r="K8437" s="5"/>
    </row>
    <row r="8438">
      <c r="A8438" s="3" t="s">
        <v>8047</v>
      </c>
      <c r="B8438" s="3" t="s">
        <v>8080</v>
      </c>
      <c r="C8438" s="3" t="s">
        <v>8145</v>
      </c>
      <c r="D8438" s="4" t="str">
        <f>HYPERLINK("https://12go.asia/en/travel/Chiang-Mai-Transfer/Pai-Hotel-Transfer", "12Go Link")</f>
        <v>12Go Link</v>
      </c>
      <c r="E8438" s="3" t="s">
        <v>8146</v>
      </c>
      <c r="K8438" s="5"/>
    </row>
    <row r="8439">
      <c r="A8439" s="3" t="s">
        <v>8047</v>
      </c>
      <c r="B8439" s="3" t="s">
        <v>8147</v>
      </c>
      <c r="C8439" s="3" t="s">
        <v>8148</v>
      </c>
      <c r="D8439" s="4" t="str">
        <f t="shared" ref="D8439:D8441" si="881">HYPERLINK("https://12go.asia/en/travel/Chiang-Mai-City-Transfer/Phayao-Hotel-Transfer", "12Go Link")</f>
        <v>12Go Link</v>
      </c>
      <c r="E8439" s="3" t="s">
        <v>222</v>
      </c>
      <c r="K8439" s="5"/>
    </row>
    <row r="8440">
      <c r="A8440" s="3" t="s">
        <v>8047</v>
      </c>
      <c r="B8440" s="3" t="s">
        <v>8147</v>
      </c>
      <c r="C8440" s="3" t="s">
        <v>8148</v>
      </c>
      <c r="D8440" s="4" t="str">
        <f t="shared" si="881"/>
        <v>12Go Link</v>
      </c>
      <c r="E8440" s="3" t="s">
        <v>8111</v>
      </c>
      <c r="K8440" s="5"/>
    </row>
    <row r="8441">
      <c r="A8441" s="3" t="s">
        <v>8047</v>
      </c>
      <c r="B8441" s="3" t="s">
        <v>8147</v>
      </c>
      <c r="C8441" s="3" t="s">
        <v>8148</v>
      </c>
      <c r="D8441" s="4" t="str">
        <f t="shared" si="881"/>
        <v>12Go Link</v>
      </c>
      <c r="E8441" s="3" t="s">
        <v>3197</v>
      </c>
      <c r="K8441" s="5"/>
    </row>
    <row r="8442">
      <c r="A8442" s="3" t="s">
        <v>8047</v>
      </c>
      <c r="B8442" s="3" t="s">
        <v>8149</v>
      </c>
      <c r="C8442" s="3" t="s">
        <v>8150</v>
      </c>
      <c r="D8442" s="4" t="str">
        <f t="shared" ref="D8442:D8444" si="882">HYPERLINK("https://12go.asia/en/travel/Chiang-Mai-City-Transfer/Sukhothai-Hotel-Transfer", "12Go Link")</f>
        <v>12Go Link</v>
      </c>
      <c r="E8442" s="3" t="s">
        <v>222</v>
      </c>
      <c r="K8442" s="5"/>
    </row>
    <row r="8443">
      <c r="A8443" s="3" t="s">
        <v>8047</v>
      </c>
      <c r="B8443" s="3" t="s">
        <v>8149</v>
      </c>
      <c r="C8443" s="3" t="s">
        <v>8150</v>
      </c>
      <c r="D8443" s="4" t="str">
        <f t="shared" si="882"/>
        <v>12Go Link</v>
      </c>
      <c r="E8443" s="3" t="s">
        <v>8111</v>
      </c>
      <c r="K8443" s="5"/>
    </row>
    <row r="8444">
      <c r="A8444" s="3" t="s">
        <v>8047</v>
      </c>
      <c r="B8444" s="3" t="s">
        <v>8149</v>
      </c>
      <c r="C8444" s="3" t="s">
        <v>8150</v>
      </c>
      <c r="D8444" s="4" t="str">
        <f t="shared" si="882"/>
        <v>12Go Link</v>
      </c>
      <c r="E8444" s="3" t="s">
        <v>3197</v>
      </c>
      <c r="K8444" s="5"/>
    </row>
    <row r="8445">
      <c r="A8445" s="3" t="s">
        <v>8047</v>
      </c>
      <c r="B8445" s="3" t="s">
        <v>8028</v>
      </c>
      <c r="C8445" s="3" t="s">
        <v>8151</v>
      </c>
      <c r="D8445" s="4" t="str">
        <f t="shared" ref="D8445:D8448" si="883">HYPERLINK("https://12go.asia/en/travel/Chiang-Mai-Town-Hotel-Transfer/Suvarnabhumi-Airport", "12Go Link")</f>
        <v>12Go Link</v>
      </c>
      <c r="E8445" s="3" t="s">
        <v>222</v>
      </c>
      <c r="K8445" s="5"/>
    </row>
    <row r="8446">
      <c r="A8446" s="3" t="s">
        <v>8047</v>
      </c>
      <c r="B8446" s="3" t="s">
        <v>8028</v>
      </c>
      <c r="C8446" s="3" t="s">
        <v>8151</v>
      </c>
      <c r="D8446" s="4" t="str">
        <f t="shared" si="883"/>
        <v>12Go Link</v>
      </c>
      <c r="E8446" s="3" t="s">
        <v>223</v>
      </c>
      <c r="K8446" s="5"/>
    </row>
    <row r="8447">
      <c r="A8447" s="3" t="s">
        <v>8047</v>
      </c>
      <c r="B8447" s="3" t="s">
        <v>8028</v>
      </c>
      <c r="C8447" s="3" t="s">
        <v>8151</v>
      </c>
      <c r="D8447" s="4" t="str">
        <f t="shared" si="883"/>
        <v>12Go Link</v>
      </c>
      <c r="E8447" s="3" t="s">
        <v>6599</v>
      </c>
      <c r="K8447" s="5"/>
    </row>
    <row r="8448">
      <c r="A8448" s="3" t="s">
        <v>8047</v>
      </c>
      <c r="B8448" s="3" t="s">
        <v>8028</v>
      </c>
      <c r="C8448" s="3" t="s">
        <v>8151</v>
      </c>
      <c r="D8448" s="4" t="str">
        <f t="shared" si="883"/>
        <v>12Go Link</v>
      </c>
      <c r="E8448" s="3" t="s">
        <v>3197</v>
      </c>
      <c r="K8448" s="5"/>
    </row>
    <row r="8449">
      <c r="A8449" s="3" t="s">
        <v>8049</v>
      </c>
      <c r="B8449" s="3" t="s">
        <v>238</v>
      </c>
      <c r="C8449" s="3" t="s">
        <v>8152</v>
      </c>
      <c r="D8449" s="4" t="str">
        <f t="shared" ref="D8449:D8452" si="884">HYPERLINK("https://12go.asia/en/travel/Chiang-Rai-Hotel-Transfer/Bangkok-Transfer", "12Go Link")</f>
        <v>12Go Link</v>
      </c>
      <c r="E8449" s="3" t="s">
        <v>222</v>
      </c>
      <c r="K8449" s="5"/>
    </row>
    <row r="8450">
      <c r="A8450" s="3" t="s">
        <v>8049</v>
      </c>
      <c r="B8450" s="3" t="s">
        <v>238</v>
      </c>
      <c r="C8450" s="3" t="s">
        <v>8152</v>
      </c>
      <c r="D8450" s="4" t="str">
        <f t="shared" si="884"/>
        <v>12Go Link</v>
      </c>
      <c r="E8450" s="3" t="s">
        <v>223</v>
      </c>
      <c r="K8450" s="5"/>
    </row>
    <row r="8451">
      <c r="A8451" s="3" t="s">
        <v>8049</v>
      </c>
      <c r="B8451" s="3" t="s">
        <v>238</v>
      </c>
      <c r="C8451" s="3" t="s">
        <v>8152</v>
      </c>
      <c r="D8451" s="4" t="str">
        <f t="shared" si="884"/>
        <v>12Go Link</v>
      </c>
      <c r="E8451" s="3" t="s">
        <v>6599</v>
      </c>
      <c r="K8451" s="5"/>
    </row>
    <row r="8452">
      <c r="A8452" s="3" t="s">
        <v>8049</v>
      </c>
      <c r="B8452" s="3" t="s">
        <v>238</v>
      </c>
      <c r="C8452" s="3" t="s">
        <v>8152</v>
      </c>
      <c r="D8452" s="4" t="str">
        <f t="shared" si="884"/>
        <v>12Go Link</v>
      </c>
      <c r="E8452" s="3" t="s">
        <v>3197</v>
      </c>
      <c r="K8452" s="5"/>
    </row>
    <row r="8453">
      <c r="A8453" s="3" t="s">
        <v>8049</v>
      </c>
      <c r="B8453" s="3" t="s">
        <v>8047</v>
      </c>
      <c r="C8453" s="3" t="s">
        <v>8153</v>
      </c>
      <c r="D8453" s="4" t="str">
        <f t="shared" ref="D8453:D8455" si="885">HYPERLINK("https://12go.asia/en/travel/Chiang-Khong/Chiang-Mai-Airport", "12Go Link")</f>
        <v>12Go Link</v>
      </c>
      <c r="E8453" s="3" t="s">
        <v>222</v>
      </c>
      <c r="K8453" s="5"/>
    </row>
    <row r="8454">
      <c r="A8454" s="3" t="s">
        <v>8049</v>
      </c>
      <c r="B8454" s="3" t="s">
        <v>8047</v>
      </c>
      <c r="C8454" s="3" t="s">
        <v>8153</v>
      </c>
      <c r="D8454" s="4" t="str">
        <f t="shared" si="885"/>
        <v>12Go Link</v>
      </c>
      <c r="E8454" s="3" t="s">
        <v>8111</v>
      </c>
      <c r="K8454" s="5"/>
    </row>
    <row r="8455">
      <c r="A8455" s="3" t="s">
        <v>8049</v>
      </c>
      <c r="B8455" s="3" t="s">
        <v>8047</v>
      </c>
      <c r="C8455" s="3" t="s">
        <v>8153</v>
      </c>
      <c r="D8455" s="4" t="str">
        <f t="shared" si="885"/>
        <v>12Go Link</v>
      </c>
      <c r="E8455" s="3" t="s">
        <v>3197</v>
      </c>
      <c r="K8455" s="5"/>
    </row>
    <row r="8456">
      <c r="A8456" s="3" t="s">
        <v>8049</v>
      </c>
      <c r="B8456" s="3" t="s">
        <v>8047</v>
      </c>
      <c r="C8456" s="3" t="s">
        <v>8154</v>
      </c>
      <c r="D8456" s="4" t="str">
        <f t="shared" ref="D8456:D8458" si="886">HYPERLINK("https://12go.asia/en/travel/Chiang-Khong/Chiang-Mai-City-Transfer", "12Go Link")</f>
        <v>12Go Link</v>
      </c>
      <c r="E8456" s="3" t="s">
        <v>222</v>
      </c>
      <c r="K8456" s="5"/>
    </row>
    <row r="8457">
      <c r="A8457" s="3" t="s">
        <v>8049</v>
      </c>
      <c r="B8457" s="3" t="s">
        <v>8047</v>
      </c>
      <c r="C8457" s="3" t="s">
        <v>8154</v>
      </c>
      <c r="D8457" s="4" t="str">
        <f t="shared" si="886"/>
        <v>12Go Link</v>
      </c>
      <c r="E8457" s="3" t="s">
        <v>8111</v>
      </c>
      <c r="K8457" s="5"/>
    </row>
    <row r="8458">
      <c r="A8458" s="3" t="s">
        <v>8049</v>
      </c>
      <c r="B8458" s="3" t="s">
        <v>8047</v>
      </c>
      <c r="C8458" s="3" t="s">
        <v>8154</v>
      </c>
      <c r="D8458" s="4" t="str">
        <f t="shared" si="886"/>
        <v>12Go Link</v>
      </c>
      <c r="E8458" s="3" t="s">
        <v>3197</v>
      </c>
      <c r="K8458" s="5"/>
    </row>
    <row r="8459">
      <c r="A8459" s="3" t="s">
        <v>8049</v>
      </c>
      <c r="B8459" s="3" t="s">
        <v>8047</v>
      </c>
      <c r="C8459" s="3" t="s">
        <v>8155</v>
      </c>
      <c r="D8459" s="4" t="str">
        <f t="shared" ref="D8459:D8461" si="887">HYPERLINK("https://12go.asia/en/travel/Chiang-Khong-Transfer/Chiang-Mai-Town-Hotel-Transfer", "12Go Link")</f>
        <v>12Go Link</v>
      </c>
      <c r="E8459" s="3" t="s">
        <v>222</v>
      </c>
      <c r="K8459" s="5"/>
    </row>
    <row r="8460">
      <c r="A8460" s="3" t="s">
        <v>8049</v>
      </c>
      <c r="B8460" s="3" t="s">
        <v>8047</v>
      </c>
      <c r="C8460" s="3" t="s">
        <v>8155</v>
      </c>
      <c r="D8460" s="4" t="str">
        <f t="shared" si="887"/>
        <v>12Go Link</v>
      </c>
      <c r="E8460" s="3" t="s">
        <v>8136</v>
      </c>
      <c r="K8460" s="5"/>
    </row>
    <row r="8461">
      <c r="A8461" s="3" t="s">
        <v>8049</v>
      </c>
      <c r="B8461" s="3" t="s">
        <v>8047</v>
      </c>
      <c r="C8461" s="3" t="s">
        <v>8155</v>
      </c>
      <c r="D8461" s="4" t="str">
        <f t="shared" si="887"/>
        <v>12Go Link</v>
      </c>
      <c r="E8461" s="3" t="s">
        <v>8137</v>
      </c>
      <c r="K8461" s="5"/>
    </row>
    <row r="8462">
      <c r="A8462" s="3" t="s">
        <v>8049</v>
      </c>
      <c r="B8462" s="3" t="s">
        <v>8047</v>
      </c>
      <c r="C8462" s="3" t="s">
        <v>8156</v>
      </c>
      <c r="D8462" s="4" t="str">
        <f t="shared" ref="D8462:D8464" si="888">HYPERLINK("https://12go.asia/en/travel/Chiang-Rai-Transfer/Chiang-Mai-Airport", "12Go Link")</f>
        <v>12Go Link</v>
      </c>
      <c r="E8462" s="3" t="s">
        <v>222</v>
      </c>
      <c r="K8462" s="5"/>
    </row>
    <row r="8463">
      <c r="A8463" s="3" t="s">
        <v>8049</v>
      </c>
      <c r="B8463" s="3" t="s">
        <v>8047</v>
      </c>
      <c r="C8463" s="3" t="s">
        <v>8156</v>
      </c>
      <c r="D8463" s="4" t="str">
        <f t="shared" si="888"/>
        <v>12Go Link</v>
      </c>
      <c r="E8463" s="3" t="s">
        <v>8111</v>
      </c>
      <c r="K8463" s="5"/>
    </row>
    <row r="8464">
      <c r="A8464" s="3" t="s">
        <v>8049</v>
      </c>
      <c r="B8464" s="3" t="s">
        <v>8047</v>
      </c>
      <c r="C8464" s="3" t="s">
        <v>8156</v>
      </c>
      <c r="D8464" s="4" t="str">
        <f t="shared" si="888"/>
        <v>12Go Link</v>
      </c>
      <c r="E8464" s="3" t="s">
        <v>3197</v>
      </c>
      <c r="K8464" s="5"/>
    </row>
    <row r="8465">
      <c r="A8465" s="3" t="s">
        <v>8049</v>
      </c>
      <c r="B8465" s="3" t="s">
        <v>8047</v>
      </c>
      <c r="C8465" s="3" t="s">
        <v>8157</v>
      </c>
      <c r="D8465" s="4" t="str">
        <f t="shared" ref="D8465:D8467" si="889">HYPERLINK("https://12go.asia/en/travel/Chiang-Rai-Transfer/Chiang-Mai-City-Transfer", "12Go Link")</f>
        <v>12Go Link</v>
      </c>
      <c r="E8465" s="3" t="s">
        <v>222</v>
      </c>
      <c r="K8465" s="5"/>
    </row>
    <row r="8466">
      <c r="A8466" s="3" t="s">
        <v>8049</v>
      </c>
      <c r="B8466" s="3" t="s">
        <v>8047</v>
      </c>
      <c r="C8466" s="3" t="s">
        <v>8157</v>
      </c>
      <c r="D8466" s="4" t="str">
        <f t="shared" si="889"/>
        <v>12Go Link</v>
      </c>
      <c r="E8466" s="3" t="s">
        <v>8111</v>
      </c>
      <c r="K8466" s="5"/>
    </row>
    <row r="8467">
      <c r="A8467" s="3" t="s">
        <v>8049</v>
      </c>
      <c r="B8467" s="3" t="s">
        <v>8047</v>
      </c>
      <c r="C8467" s="3" t="s">
        <v>8157</v>
      </c>
      <c r="D8467" s="4" t="str">
        <f t="shared" si="889"/>
        <v>12Go Link</v>
      </c>
      <c r="E8467" s="3" t="s">
        <v>3197</v>
      </c>
      <c r="K8467" s="5"/>
    </row>
    <row r="8468">
      <c r="A8468" s="3" t="s">
        <v>8049</v>
      </c>
      <c r="B8468" s="3" t="s">
        <v>8047</v>
      </c>
      <c r="C8468" s="3" t="s">
        <v>8158</v>
      </c>
      <c r="D8468" s="4" t="str">
        <f t="shared" ref="D8468:D8470" si="890">HYPERLINK("https://12go.asia/en/travel/Golden-Triangle/Chiang-Mai-Airport", "12Go Link")</f>
        <v>12Go Link</v>
      </c>
      <c r="E8468" s="3" t="s">
        <v>222</v>
      </c>
      <c r="K8468" s="5"/>
    </row>
    <row r="8469">
      <c r="A8469" s="3" t="s">
        <v>8049</v>
      </c>
      <c r="B8469" s="3" t="s">
        <v>8047</v>
      </c>
      <c r="C8469" s="3" t="s">
        <v>8158</v>
      </c>
      <c r="D8469" s="4" t="str">
        <f t="shared" si="890"/>
        <v>12Go Link</v>
      </c>
      <c r="E8469" s="3" t="s">
        <v>8111</v>
      </c>
      <c r="K8469" s="5"/>
    </row>
    <row r="8470">
      <c r="A8470" s="3" t="s">
        <v>8049</v>
      </c>
      <c r="B8470" s="3" t="s">
        <v>8047</v>
      </c>
      <c r="C8470" s="3" t="s">
        <v>8158</v>
      </c>
      <c r="D8470" s="4" t="str">
        <f t="shared" si="890"/>
        <v>12Go Link</v>
      </c>
      <c r="E8470" s="3" t="s">
        <v>3197</v>
      </c>
      <c r="K8470" s="5"/>
    </row>
    <row r="8471">
      <c r="A8471" s="3" t="s">
        <v>8049</v>
      </c>
      <c r="B8471" s="3" t="s">
        <v>8047</v>
      </c>
      <c r="C8471" s="3" t="s">
        <v>8159</v>
      </c>
      <c r="D8471" s="4" t="str">
        <f t="shared" ref="D8471:D8473" si="891">HYPERLINK("https://12go.asia/en/travel/Golden-Triangle/Chiang-Mai-City-Transfer", "12Go Link")</f>
        <v>12Go Link</v>
      </c>
      <c r="E8471" s="3" t="s">
        <v>222</v>
      </c>
      <c r="K8471" s="5"/>
    </row>
    <row r="8472">
      <c r="A8472" s="3" t="s">
        <v>8049</v>
      </c>
      <c r="B8472" s="3" t="s">
        <v>8047</v>
      </c>
      <c r="C8472" s="3" t="s">
        <v>8159</v>
      </c>
      <c r="D8472" s="4" t="str">
        <f t="shared" si="891"/>
        <v>12Go Link</v>
      </c>
      <c r="E8472" s="3" t="s">
        <v>8111</v>
      </c>
      <c r="K8472" s="5"/>
    </row>
    <row r="8473">
      <c r="A8473" s="3" t="s">
        <v>8049</v>
      </c>
      <c r="B8473" s="3" t="s">
        <v>8047</v>
      </c>
      <c r="C8473" s="3" t="s">
        <v>8159</v>
      </c>
      <c r="D8473" s="4" t="str">
        <f t="shared" si="891"/>
        <v>12Go Link</v>
      </c>
      <c r="E8473" s="3" t="s">
        <v>3197</v>
      </c>
      <c r="K8473" s="5"/>
    </row>
    <row r="8474">
      <c r="A8474" s="3" t="s">
        <v>8049</v>
      </c>
      <c r="B8474" s="3" t="s">
        <v>8049</v>
      </c>
      <c r="C8474" s="3" t="s">
        <v>8160</v>
      </c>
      <c r="D8474" s="4" t="str">
        <f t="shared" ref="D8474:D8476" si="892">HYPERLINK("https://12go.asia/en/travel/Chiang-Khong/Chiang-Rai-Airport", "12Go Link")</f>
        <v>12Go Link</v>
      </c>
      <c r="E8474" s="3" t="s">
        <v>222</v>
      </c>
      <c r="K8474" s="5"/>
    </row>
    <row r="8475">
      <c r="A8475" s="3" t="s">
        <v>8049</v>
      </c>
      <c r="B8475" s="3" t="s">
        <v>8049</v>
      </c>
      <c r="C8475" s="3" t="s">
        <v>8160</v>
      </c>
      <c r="D8475" s="4" t="str">
        <f t="shared" si="892"/>
        <v>12Go Link</v>
      </c>
      <c r="E8475" s="3" t="s">
        <v>8111</v>
      </c>
      <c r="K8475" s="5"/>
    </row>
    <row r="8476">
      <c r="A8476" s="3" t="s">
        <v>8049</v>
      </c>
      <c r="B8476" s="3" t="s">
        <v>8049</v>
      </c>
      <c r="C8476" s="3" t="s">
        <v>8160</v>
      </c>
      <c r="D8476" s="4" t="str">
        <f t="shared" si="892"/>
        <v>12Go Link</v>
      </c>
      <c r="E8476" s="3" t="s">
        <v>3197</v>
      </c>
      <c r="K8476" s="5"/>
    </row>
    <row r="8477">
      <c r="A8477" s="3" t="s">
        <v>8049</v>
      </c>
      <c r="B8477" s="3" t="s">
        <v>8049</v>
      </c>
      <c r="C8477" s="3" t="s">
        <v>8161</v>
      </c>
      <c r="D8477" s="4" t="str">
        <f t="shared" ref="D8477:D8479" si="893">HYPERLINK("https://12go.asia/en/travel/Chiang-Khong/Chiang-Rai-Transfer", "12Go Link")</f>
        <v>12Go Link</v>
      </c>
      <c r="E8477" s="3" t="s">
        <v>222</v>
      </c>
      <c r="K8477" s="5"/>
    </row>
    <row r="8478">
      <c r="A8478" s="3" t="s">
        <v>8049</v>
      </c>
      <c r="B8478" s="3" t="s">
        <v>8049</v>
      </c>
      <c r="C8478" s="3" t="s">
        <v>8161</v>
      </c>
      <c r="D8478" s="4" t="str">
        <f t="shared" si="893"/>
        <v>12Go Link</v>
      </c>
      <c r="E8478" s="3" t="s">
        <v>8111</v>
      </c>
      <c r="K8478" s="5"/>
    </row>
    <row r="8479">
      <c r="A8479" s="3" t="s">
        <v>8049</v>
      </c>
      <c r="B8479" s="3" t="s">
        <v>8049</v>
      </c>
      <c r="C8479" s="3" t="s">
        <v>8161</v>
      </c>
      <c r="D8479" s="4" t="str">
        <f t="shared" si="893"/>
        <v>12Go Link</v>
      </c>
      <c r="E8479" s="3" t="s">
        <v>3197</v>
      </c>
      <c r="K8479" s="5"/>
    </row>
    <row r="8480">
      <c r="A8480" s="3" t="s">
        <v>8049</v>
      </c>
      <c r="B8480" s="3" t="s">
        <v>8049</v>
      </c>
      <c r="C8480" s="3" t="s">
        <v>8162</v>
      </c>
      <c r="D8480" s="4" t="str">
        <f t="shared" ref="D8480:D8482" si="894">HYPERLINK("https://12go.asia/en/travel/Chiang-Khong-Transfer/Chiang-Rai-Hotel-Transfer", "12Go Link")</f>
        <v>12Go Link</v>
      </c>
      <c r="E8480" s="3" t="s">
        <v>222</v>
      </c>
      <c r="K8480" s="5"/>
    </row>
    <row r="8481">
      <c r="A8481" s="3" t="s">
        <v>8049</v>
      </c>
      <c r="B8481" s="3" t="s">
        <v>8049</v>
      </c>
      <c r="C8481" s="3" t="s">
        <v>8162</v>
      </c>
      <c r="D8481" s="4" t="str">
        <f t="shared" si="894"/>
        <v>12Go Link</v>
      </c>
      <c r="E8481" s="3" t="s">
        <v>8136</v>
      </c>
      <c r="K8481" s="5"/>
    </row>
    <row r="8482">
      <c r="A8482" s="3" t="s">
        <v>8049</v>
      </c>
      <c r="B8482" s="3" t="s">
        <v>8049</v>
      </c>
      <c r="C8482" s="3" t="s">
        <v>8162</v>
      </c>
      <c r="D8482" s="4" t="str">
        <f t="shared" si="894"/>
        <v>12Go Link</v>
      </c>
      <c r="E8482" s="3" t="s">
        <v>8137</v>
      </c>
      <c r="K8482" s="5"/>
    </row>
    <row r="8483">
      <c r="A8483" s="3" t="s">
        <v>8049</v>
      </c>
      <c r="B8483" s="3" t="s">
        <v>8049</v>
      </c>
      <c r="C8483" s="3" t="s">
        <v>8163</v>
      </c>
      <c r="D8483" s="4" t="str">
        <f t="shared" ref="D8483:D8485" si="895">HYPERLINK("https://12go.asia/en/travel/Chiang-Rai-Airport/Chiang-Khong", "12Go Link")</f>
        <v>12Go Link</v>
      </c>
      <c r="E8483" s="3" t="s">
        <v>222</v>
      </c>
      <c r="K8483" s="5"/>
    </row>
    <row r="8484">
      <c r="A8484" s="3" t="s">
        <v>8049</v>
      </c>
      <c r="B8484" s="3" t="s">
        <v>8049</v>
      </c>
      <c r="C8484" s="3" t="s">
        <v>8163</v>
      </c>
      <c r="D8484" s="4" t="str">
        <f t="shared" si="895"/>
        <v>12Go Link</v>
      </c>
      <c r="E8484" s="3" t="s">
        <v>8111</v>
      </c>
      <c r="K8484" s="5"/>
    </row>
    <row r="8485">
      <c r="A8485" s="3" t="s">
        <v>8049</v>
      </c>
      <c r="B8485" s="3" t="s">
        <v>8049</v>
      </c>
      <c r="C8485" s="3" t="s">
        <v>8163</v>
      </c>
      <c r="D8485" s="4" t="str">
        <f t="shared" si="895"/>
        <v>12Go Link</v>
      </c>
      <c r="E8485" s="3" t="s">
        <v>3197</v>
      </c>
      <c r="K8485" s="5"/>
    </row>
    <row r="8486">
      <c r="A8486" s="3" t="s">
        <v>8049</v>
      </c>
      <c r="B8486" s="3" t="s">
        <v>8049</v>
      </c>
      <c r="C8486" s="3" t="s">
        <v>8164</v>
      </c>
      <c r="D8486" s="4" t="str">
        <f t="shared" ref="D8486:D8488" si="896">HYPERLINK("https://12go.asia/en/travel/Chiang-Rai-Airport/Chiang-Rai-Transfer", "12Go Link")</f>
        <v>12Go Link</v>
      </c>
      <c r="E8486" s="3" t="s">
        <v>222</v>
      </c>
      <c r="K8486" s="5"/>
    </row>
    <row r="8487">
      <c r="A8487" s="3" t="s">
        <v>8049</v>
      </c>
      <c r="B8487" s="3" t="s">
        <v>8049</v>
      </c>
      <c r="C8487" s="3" t="s">
        <v>8164</v>
      </c>
      <c r="D8487" s="4" t="str">
        <f t="shared" si="896"/>
        <v>12Go Link</v>
      </c>
      <c r="E8487" s="3" t="s">
        <v>8111</v>
      </c>
      <c r="K8487" s="5"/>
    </row>
    <row r="8488">
      <c r="A8488" s="3" t="s">
        <v>8049</v>
      </c>
      <c r="B8488" s="3" t="s">
        <v>8049</v>
      </c>
      <c r="C8488" s="3" t="s">
        <v>8164</v>
      </c>
      <c r="D8488" s="4" t="str">
        <f t="shared" si="896"/>
        <v>12Go Link</v>
      </c>
      <c r="E8488" s="3" t="s">
        <v>3197</v>
      </c>
      <c r="K8488" s="5"/>
    </row>
    <row r="8489">
      <c r="A8489" s="3" t="s">
        <v>8049</v>
      </c>
      <c r="B8489" s="3" t="s">
        <v>8049</v>
      </c>
      <c r="C8489" s="3" t="s">
        <v>8165</v>
      </c>
      <c r="D8489" s="4" t="str">
        <f t="shared" ref="D8489:D8491" si="897">HYPERLINK("https://12go.asia/en/travel/Chiang-Rai-Airport/Chiang-Saen", "12Go Link")</f>
        <v>12Go Link</v>
      </c>
      <c r="E8489" s="3" t="s">
        <v>222</v>
      </c>
      <c r="K8489" s="5"/>
    </row>
    <row r="8490">
      <c r="A8490" s="3" t="s">
        <v>8049</v>
      </c>
      <c r="B8490" s="3" t="s">
        <v>8049</v>
      </c>
      <c r="C8490" s="3" t="s">
        <v>8165</v>
      </c>
      <c r="D8490" s="4" t="str">
        <f t="shared" si="897"/>
        <v>12Go Link</v>
      </c>
      <c r="E8490" s="3" t="s">
        <v>8111</v>
      </c>
      <c r="K8490" s="5"/>
    </row>
    <row r="8491">
      <c r="A8491" s="3" t="s">
        <v>8049</v>
      </c>
      <c r="B8491" s="3" t="s">
        <v>8049</v>
      </c>
      <c r="C8491" s="3" t="s">
        <v>8165</v>
      </c>
      <c r="D8491" s="4" t="str">
        <f t="shared" si="897"/>
        <v>12Go Link</v>
      </c>
      <c r="E8491" s="3" t="s">
        <v>3197</v>
      </c>
      <c r="K8491" s="5"/>
    </row>
    <row r="8492">
      <c r="A8492" s="3" t="s">
        <v>8049</v>
      </c>
      <c r="B8492" s="3" t="s">
        <v>8049</v>
      </c>
      <c r="C8492" s="3" t="s">
        <v>8166</v>
      </c>
      <c r="D8492" s="4" t="str">
        <f t="shared" ref="D8492:D8494" si="898">HYPERLINK("https://12go.asia/en/travel/Chiang-Rai-Airport/Golden-Triangle", "12Go Link")</f>
        <v>12Go Link</v>
      </c>
      <c r="E8492" s="3" t="s">
        <v>222</v>
      </c>
      <c r="K8492" s="5"/>
    </row>
    <row r="8493">
      <c r="A8493" s="3" t="s">
        <v>8049</v>
      </c>
      <c r="B8493" s="3" t="s">
        <v>8049</v>
      </c>
      <c r="C8493" s="3" t="s">
        <v>8166</v>
      </c>
      <c r="D8493" s="4" t="str">
        <f t="shared" si="898"/>
        <v>12Go Link</v>
      </c>
      <c r="E8493" s="3" t="s">
        <v>8111</v>
      </c>
      <c r="K8493" s="5"/>
    </row>
    <row r="8494">
      <c r="A8494" s="3" t="s">
        <v>8049</v>
      </c>
      <c r="B8494" s="3" t="s">
        <v>8049</v>
      </c>
      <c r="C8494" s="3" t="s">
        <v>8166</v>
      </c>
      <c r="D8494" s="4" t="str">
        <f t="shared" si="898"/>
        <v>12Go Link</v>
      </c>
      <c r="E8494" s="3" t="s">
        <v>3197</v>
      </c>
      <c r="K8494" s="5"/>
    </row>
    <row r="8495">
      <c r="A8495" s="3" t="s">
        <v>8049</v>
      </c>
      <c r="B8495" s="3" t="s">
        <v>8049</v>
      </c>
      <c r="C8495" s="3" t="s">
        <v>8167</v>
      </c>
      <c r="D8495" s="4" t="str">
        <f t="shared" ref="D8495:D8497" si="899">HYPERLINK("https://12go.asia/en/travel/Chiang-Rai-Hotel-Transfer/Chiang-Khong-Transfer", "12Go Link")</f>
        <v>12Go Link</v>
      </c>
      <c r="E8495" s="3" t="s">
        <v>222</v>
      </c>
      <c r="K8495" s="5"/>
    </row>
    <row r="8496">
      <c r="A8496" s="3" t="s">
        <v>8049</v>
      </c>
      <c r="B8496" s="3" t="s">
        <v>8049</v>
      </c>
      <c r="C8496" s="3" t="s">
        <v>8167</v>
      </c>
      <c r="D8496" s="4" t="str">
        <f t="shared" si="899"/>
        <v>12Go Link</v>
      </c>
      <c r="E8496" s="3" t="s">
        <v>8136</v>
      </c>
      <c r="K8496" s="5"/>
    </row>
    <row r="8497">
      <c r="A8497" s="3" t="s">
        <v>8049</v>
      </c>
      <c r="B8497" s="3" t="s">
        <v>8049</v>
      </c>
      <c r="C8497" s="3" t="s">
        <v>8167</v>
      </c>
      <c r="D8497" s="4" t="str">
        <f t="shared" si="899"/>
        <v>12Go Link</v>
      </c>
      <c r="E8497" s="3" t="s">
        <v>8137</v>
      </c>
      <c r="K8497" s="5"/>
    </row>
    <row r="8498">
      <c r="A8498" s="3" t="s">
        <v>8049</v>
      </c>
      <c r="B8498" s="3" t="s">
        <v>8049</v>
      </c>
      <c r="C8498" s="3" t="s">
        <v>8168</v>
      </c>
      <c r="D8498" s="4" t="str">
        <f t="shared" ref="D8498:D8500" si="900">HYPERLINK("https://12go.asia/en/travel/Chiang-Rai-Transfer/Chiang-Rai-Airport", "12Go Link")</f>
        <v>12Go Link</v>
      </c>
      <c r="E8498" s="3" t="s">
        <v>222</v>
      </c>
      <c r="K8498" s="5"/>
    </row>
    <row r="8499">
      <c r="A8499" s="3" t="s">
        <v>8049</v>
      </c>
      <c r="B8499" s="3" t="s">
        <v>8049</v>
      </c>
      <c r="C8499" s="3" t="s">
        <v>8168</v>
      </c>
      <c r="D8499" s="4" t="str">
        <f t="shared" si="900"/>
        <v>12Go Link</v>
      </c>
      <c r="E8499" s="3" t="s">
        <v>8111</v>
      </c>
      <c r="K8499" s="5"/>
    </row>
    <row r="8500">
      <c r="A8500" s="3" t="s">
        <v>8049</v>
      </c>
      <c r="B8500" s="3" t="s">
        <v>8049</v>
      </c>
      <c r="C8500" s="3" t="s">
        <v>8168</v>
      </c>
      <c r="D8500" s="4" t="str">
        <f t="shared" si="900"/>
        <v>12Go Link</v>
      </c>
      <c r="E8500" s="3" t="s">
        <v>3197</v>
      </c>
      <c r="K8500" s="5"/>
    </row>
    <row r="8501">
      <c r="A8501" s="3" t="s">
        <v>8049</v>
      </c>
      <c r="B8501" s="3" t="s">
        <v>8049</v>
      </c>
      <c r="C8501" s="3" t="s">
        <v>8169</v>
      </c>
      <c r="D8501" s="4" t="str">
        <f t="shared" ref="D8501:D8503" si="901">HYPERLINK("https://12go.asia/en/travel/Chiang-Saen/Chiang-Rai-Airport", "12Go Link")</f>
        <v>12Go Link</v>
      </c>
      <c r="E8501" s="3" t="s">
        <v>222</v>
      </c>
      <c r="K8501" s="5"/>
    </row>
    <row r="8502">
      <c r="A8502" s="3" t="s">
        <v>8049</v>
      </c>
      <c r="B8502" s="3" t="s">
        <v>8049</v>
      </c>
      <c r="C8502" s="3" t="s">
        <v>8169</v>
      </c>
      <c r="D8502" s="4" t="str">
        <f t="shared" si="901"/>
        <v>12Go Link</v>
      </c>
      <c r="E8502" s="3" t="s">
        <v>8111</v>
      </c>
      <c r="K8502" s="5"/>
    </row>
    <row r="8503">
      <c r="A8503" s="3" t="s">
        <v>8049</v>
      </c>
      <c r="B8503" s="3" t="s">
        <v>8049</v>
      </c>
      <c r="C8503" s="3" t="s">
        <v>8169</v>
      </c>
      <c r="D8503" s="4" t="str">
        <f t="shared" si="901"/>
        <v>12Go Link</v>
      </c>
      <c r="E8503" s="3" t="s">
        <v>3197</v>
      </c>
      <c r="K8503" s="5"/>
    </row>
    <row r="8504">
      <c r="A8504" s="3" t="s">
        <v>8049</v>
      </c>
      <c r="B8504" s="3" t="s">
        <v>8049</v>
      </c>
      <c r="C8504" s="3" t="s">
        <v>8170</v>
      </c>
      <c r="D8504" s="4" t="str">
        <f t="shared" ref="D8504:D8506" si="902">HYPERLINK("https://12go.asia/en/travel/Chiang-Saen/Chiang-Rai-Transfer", "12Go Link")</f>
        <v>12Go Link</v>
      </c>
      <c r="E8504" s="3" t="s">
        <v>222</v>
      </c>
      <c r="K8504" s="5"/>
    </row>
    <row r="8505">
      <c r="A8505" s="3" t="s">
        <v>8049</v>
      </c>
      <c r="B8505" s="3" t="s">
        <v>8049</v>
      </c>
      <c r="C8505" s="3" t="s">
        <v>8170</v>
      </c>
      <c r="D8505" s="4" t="str">
        <f t="shared" si="902"/>
        <v>12Go Link</v>
      </c>
      <c r="E8505" s="3" t="s">
        <v>8111</v>
      </c>
      <c r="K8505" s="5"/>
    </row>
    <row r="8506">
      <c r="A8506" s="3" t="s">
        <v>8049</v>
      </c>
      <c r="B8506" s="3" t="s">
        <v>8049</v>
      </c>
      <c r="C8506" s="3" t="s">
        <v>8170</v>
      </c>
      <c r="D8506" s="4" t="str">
        <f t="shared" si="902"/>
        <v>12Go Link</v>
      </c>
      <c r="E8506" s="3" t="s">
        <v>3197</v>
      </c>
      <c r="K8506" s="5"/>
    </row>
    <row r="8507">
      <c r="A8507" s="3" t="s">
        <v>8049</v>
      </c>
      <c r="B8507" s="3" t="s">
        <v>8049</v>
      </c>
      <c r="C8507" s="3" t="s">
        <v>8171</v>
      </c>
      <c r="D8507" s="4" t="str">
        <f t="shared" ref="D8507:D8509" si="903">HYPERLINK("https://12go.asia/en/travel/Golden-Triangle/Chiang-Rai-Airport", "12Go Link")</f>
        <v>12Go Link</v>
      </c>
      <c r="E8507" s="3" t="s">
        <v>222</v>
      </c>
      <c r="K8507" s="5"/>
    </row>
    <row r="8508">
      <c r="A8508" s="3" t="s">
        <v>8049</v>
      </c>
      <c r="B8508" s="3" t="s">
        <v>8049</v>
      </c>
      <c r="C8508" s="3" t="s">
        <v>8171</v>
      </c>
      <c r="D8508" s="4" t="str">
        <f t="shared" si="903"/>
        <v>12Go Link</v>
      </c>
      <c r="E8508" s="3" t="s">
        <v>8111</v>
      </c>
      <c r="K8508" s="5"/>
    </row>
    <row r="8509">
      <c r="A8509" s="3" t="s">
        <v>8049</v>
      </c>
      <c r="B8509" s="3" t="s">
        <v>8049</v>
      </c>
      <c r="C8509" s="3" t="s">
        <v>8171</v>
      </c>
      <c r="D8509" s="4" t="str">
        <f t="shared" si="903"/>
        <v>12Go Link</v>
      </c>
      <c r="E8509" s="3" t="s">
        <v>3197</v>
      </c>
      <c r="K8509" s="5"/>
    </row>
    <row r="8510">
      <c r="A8510" s="3" t="s">
        <v>8049</v>
      </c>
      <c r="B8510" s="3" t="s">
        <v>8049</v>
      </c>
      <c r="C8510" s="3" t="s">
        <v>8172</v>
      </c>
      <c r="D8510" s="4" t="str">
        <f t="shared" ref="D8510:D8512" si="904">HYPERLINK("https://12go.asia/en/travel/Golden-Triangle/Chiang-Rai-Transfer", "12Go Link")</f>
        <v>12Go Link</v>
      </c>
      <c r="E8510" s="3" t="s">
        <v>222</v>
      </c>
      <c r="K8510" s="5"/>
    </row>
    <row r="8511">
      <c r="A8511" s="3" t="s">
        <v>8049</v>
      </c>
      <c r="B8511" s="3" t="s">
        <v>8049</v>
      </c>
      <c r="C8511" s="3" t="s">
        <v>8172</v>
      </c>
      <c r="D8511" s="4" t="str">
        <f t="shared" si="904"/>
        <v>12Go Link</v>
      </c>
      <c r="E8511" s="3" t="s">
        <v>8111</v>
      </c>
      <c r="K8511" s="5"/>
    </row>
    <row r="8512">
      <c r="A8512" s="3" t="s">
        <v>8049</v>
      </c>
      <c r="B8512" s="3" t="s">
        <v>8049</v>
      </c>
      <c r="C8512" s="3" t="s">
        <v>8172</v>
      </c>
      <c r="D8512" s="4" t="str">
        <f t="shared" si="904"/>
        <v>12Go Link</v>
      </c>
      <c r="E8512" s="3" t="s">
        <v>3197</v>
      </c>
      <c r="K8512" s="5"/>
    </row>
    <row r="8513">
      <c r="A8513" s="3" t="s">
        <v>8049</v>
      </c>
      <c r="B8513" s="3" t="s">
        <v>8140</v>
      </c>
      <c r="C8513" s="3" t="s">
        <v>8173</v>
      </c>
      <c r="D8513" s="4" t="str">
        <f t="shared" ref="D8513:D8515" si="905">HYPERLINK("https://12go.asia/en/travel/Chiang-Rai-Airport/Mae-Sai", "12Go Link")</f>
        <v>12Go Link</v>
      </c>
      <c r="E8513" s="3" t="s">
        <v>222</v>
      </c>
      <c r="K8513" s="5"/>
    </row>
    <row r="8514">
      <c r="A8514" s="3" t="s">
        <v>8049</v>
      </c>
      <c r="B8514" s="3" t="s">
        <v>8140</v>
      </c>
      <c r="C8514" s="3" t="s">
        <v>8173</v>
      </c>
      <c r="D8514" s="4" t="str">
        <f t="shared" si="905"/>
        <v>12Go Link</v>
      </c>
      <c r="E8514" s="3" t="s">
        <v>8111</v>
      </c>
      <c r="K8514" s="5"/>
    </row>
    <row r="8515">
      <c r="A8515" s="3" t="s">
        <v>8049</v>
      </c>
      <c r="B8515" s="3" t="s">
        <v>8140</v>
      </c>
      <c r="C8515" s="3" t="s">
        <v>8173</v>
      </c>
      <c r="D8515" s="4" t="str">
        <f t="shared" si="905"/>
        <v>12Go Link</v>
      </c>
      <c r="E8515" s="3" t="s">
        <v>3197</v>
      </c>
      <c r="K8515" s="5"/>
    </row>
    <row r="8516">
      <c r="A8516" s="3" t="s">
        <v>8049</v>
      </c>
      <c r="B8516" s="3" t="s">
        <v>8028</v>
      </c>
      <c r="C8516" s="3" t="s">
        <v>8174</v>
      </c>
      <c r="D8516" s="4" t="str">
        <f t="shared" ref="D8516:D8519" si="906">HYPERLINK("https://12go.asia/en/travel/Chiang-Rai-Hotel-Transfer/Suvarnabhumi-Airport", "12Go Link")</f>
        <v>12Go Link</v>
      </c>
      <c r="E8516" s="3" t="s">
        <v>222</v>
      </c>
      <c r="K8516" s="5"/>
    </row>
    <row r="8517">
      <c r="A8517" s="3" t="s">
        <v>8049</v>
      </c>
      <c r="B8517" s="3" t="s">
        <v>8028</v>
      </c>
      <c r="C8517" s="3" t="s">
        <v>8174</v>
      </c>
      <c r="D8517" s="4" t="str">
        <f t="shared" si="906"/>
        <v>12Go Link</v>
      </c>
      <c r="E8517" s="3" t="s">
        <v>223</v>
      </c>
      <c r="K8517" s="5"/>
    </row>
    <row r="8518">
      <c r="A8518" s="3" t="s">
        <v>8049</v>
      </c>
      <c r="B8518" s="3" t="s">
        <v>8028</v>
      </c>
      <c r="C8518" s="3" t="s">
        <v>8174</v>
      </c>
      <c r="D8518" s="4" t="str">
        <f t="shared" si="906"/>
        <v>12Go Link</v>
      </c>
      <c r="E8518" s="3" t="s">
        <v>6599</v>
      </c>
      <c r="K8518" s="5"/>
    </row>
    <row r="8519">
      <c r="A8519" s="3" t="s">
        <v>8049</v>
      </c>
      <c r="B8519" s="3" t="s">
        <v>8028</v>
      </c>
      <c r="C8519" s="3" t="s">
        <v>8174</v>
      </c>
      <c r="D8519" s="4" t="str">
        <f t="shared" si="906"/>
        <v>12Go Link</v>
      </c>
      <c r="E8519" s="3" t="s">
        <v>3197</v>
      </c>
      <c r="K8519" s="5"/>
    </row>
    <row r="8520">
      <c r="A8520" s="3" t="s">
        <v>8051</v>
      </c>
      <c r="B8520" s="3" t="s">
        <v>238</v>
      </c>
      <c r="C8520" s="3" t="s">
        <v>8175</v>
      </c>
      <c r="D8520" s="4" t="str">
        <f t="shared" ref="D8520:D8523" si="907">HYPERLINK("https://12go.asia/en/travel/Chonburi-Hotel-Transfer/Bangkok-Transfer", "12Go Link")</f>
        <v>12Go Link</v>
      </c>
      <c r="E8520" s="3" t="s">
        <v>222</v>
      </c>
      <c r="K8520" s="5"/>
    </row>
    <row r="8521">
      <c r="A8521" s="3" t="s">
        <v>8051</v>
      </c>
      <c r="B8521" s="3" t="s">
        <v>238</v>
      </c>
      <c r="C8521" s="3" t="s">
        <v>8175</v>
      </c>
      <c r="D8521" s="4" t="str">
        <f t="shared" si="907"/>
        <v>12Go Link</v>
      </c>
      <c r="E8521" s="3" t="s">
        <v>223</v>
      </c>
      <c r="K8521" s="5"/>
    </row>
    <row r="8522">
      <c r="A8522" s="3" t="s">
        <v>8051</v>
      </c>
      <c r="B8522" s="3" t="s">
        <v>238</v>
      </c>
      <c r="C8522" s="3" t="s">
        <v>8175</v>
      </c>
      <c r="D8522" s="4" t="str">
        <f t="shared" si="907"/>
        <v>12Go Link</v>
      </c>
      <c r="E8522" s="3" t="s">
        <v>6599</v>
      </c>
      <c r="K8522" s="5"/>
    </row>
    <row r="8523">
      <c r="A8523" s="3" t="s">
        <v>8051</v>
      </c>
      <c r="B8523" s="3" t="s">
        <v>238</v>
      </c>
      <c r="C8523" s="3" t="s">
        <v>8175</v>
      </c>
      <c r="D8523" s="4" t="str">
        <f t="shared" si="907"/>
        <v>12Go Link</v>
      </c>
      <c r="E8523" s="3" t="s">
        <v>3197</v>
      </c>
      <c r="K8523" s="5"/>
    </row>
    <row r="8524">
      <c r="A8524" s="3" t="s">
        <v>8053</v>
      </c>
      <c r="B8524" s="3" t="s">
        <v>8176</v>
      </c>
      <c r="C8524" s="3" t="s">
        <v>8177</v>
      </c>
      <c r="D8524" s="4" t="str">
        <f>HYPERLINK("https://12go.asia/en/travel/Pontaweesin-Pier/Bandar-Seri-Begawan-Airport", "12Go Link")</f>
        <v>12Go Link</v>
      </c>
      <c r="E8524" s="3" t="s">
        <v>8178</v>
      </c>
      <c r="K8524" s="5"/>
    </row>
    <row r="8525">
      <c r="A8525" s="3" t="s">
        <v>8053</v>
      </c>
      <c r="B8525" s="3" t="s">
        <v>238</v>
      </c>
      <c r="C8525" s="3" t="s">
        <v>8179</v>
      </c>
      <c r="D8525" s="4" t="str">
        <f t="shared" ref="D8525:D8528" si="908">HYPERLINK("https://12go.asia/en/travel/Chumphon-Hotel-Transfer/Bangkok-Transfer", "12Go Link")</f>
        <v>12Go Link</v>
      </c>
      <c r="E8525" s="3" t="s">
        <v>222</v>
      </c>
      <c r="K8525" s="5"/>
    </row>
    <row r="8526">
      <c r="A8526" s="3" t="s">
        <v>8053</v>
      </c>
      <c r="B8526" s="3" t="s">
        <v>238</v>
      </c>
      <c r="C8526" s="3" t="s">
        <v>8179</v>
      </c>
      <c r="D8526" s="4" t="str">
        <f t="shared" si="908"/>
        <v>12Go Link</v>
      </c>
      <c r="E8526" s="3" t="s">
        <v>223</v>
      </c>
      <c r="K8526" s="5"/>
    </row>
    <row r="8527">
      <c r="A8527" s="3" t="s">
        <v>8053</v>
      </c>
      <c r="B8527" s="3" t="s">
        <v>238</v>
      </c>
      <c r="C8527" s="3" t="s">
        <v>8179</v>
      </c>
      <c r="D8527" s="4" t="str">
        <f t="shared" si="908"/>
        <v>12Go Link</v>
      </c>
      <c r="E8527" s="3" t="s">
        <v>6599</v>
      </c>
      <c r="K8527" s="5"/>
    </row>
    <row r="8528">
      <c r="A8528" s="3" t="s">
        <v>8053</v>
      </c>
      <c r="B8528" s="3" t="s">
        <v>238</v>
      </c>
      <c r="C8528" s="3" t="s">
        <v>8179</v>
      </c>
      <c r="D8528" s="4" t="str">
        <f t="shared" si="908"/>
        <v>12Go Link</v>
      </c>
      <c r="E8528" s="3" t="s">
        <v>3197</v>
      </c>
      <c r="K8528" s="5"/>
    </row>
    <row r="8529">
      <c r="A8529" s="3" t="s">
        <v>8053</v>
      </c>
      <c r="B8529" s="3" t="s">
        <v>8180</v>
      </c>
      <c r="C8529" s="3" t="s">
        <v>8181</v>
      </c>
      <c r="D8529" s="4" t="str">
        <f>HYPERLINK("https://12go.asia/en/travel/Axara-Tour-office/Mae-Haad-Koh-Tao", "12Go Link")</f>
        <v>12Go Link</v>
      </c>
      <c r="E8529" s="3" t="s">
        <v>8182</v>
      </c>
      <c r="K8529" s="5"/>
    </row>
    <row r="8530">
      <c r="A8530" s="3" t="s">
        <v>8053</v>
      </c>
      <c r="B8530" s="3" t="s">
        <v>8180</v>
      </c>
      <c r="C8530" s="3" t="s">
        <v>8183</v>
      </c>
      <c r="D8530" s="4" t="str">
        <f>HYPERLINK("https://12go.asia/en/travel/Pontaweesin-Pier/Mae-Haad-Koh-Tao", "12Go Link")</f>
        <v>12Go Link</v>
      </c>
      <c r="E8530" s="3" t="s">
        <v>8178</v>
      </c>
      <c r="K8530" s="5"/>
    </row>
    <row r="8531">
      <c r="A8531" s="3" t="s">
        <v>8053</v>
      </c>
      <c r="B8531" s="3" t="s">
        <v>8020</v>
      </c>
      <c r="C8531" s="3" t="s">
        <v>8184</v>
      </c>
      <c r="D8531" s="4" t="str">
        <f t="shared" ref="D8531:D8534" si="909">HYPERLINK("https://12go.asia/en/travel/Chumphon-Hotel-Transfer/Phuket-Airport", "12Go Link")</f>
        <v>12Go Link</v>
      </c>
      <c r="E8531" s="3" t="s">
        <v>222</v>
      </c>
      <c r="K8531" s="5"/>
    </row>
    <row r="8532">
      <c r="A8532" s="3" t="s">
        <v>8053</v>
      </c>
      <c r="B8532" s="3" t="s">
        <v>8020</v>
      </c>
      <c r="C8532" s="3" t="s">
        <v>8184</v>
      </c>
      <c r="D8532" s="4" t="str">
        <f t="shared" si="909"/>
        <v>12Go Link</v>
      </c>
      <c r="E8532" s="3" t="s">
        <v>223</v>
      </c>
      <c r="K8532" s="5"/>
    </row>
    <row r="8533">
      <c r="A8533" s="3" t="s">
        <v>8053</v>
      </c>
      <c r="B8533" s="3" t="s">
        <v>8020</v>
      </c>
      <c r="C8533" s="3" t="s">
        <v>8184</v>
      </c>
      <c r="D8533" s="4" t="str">
        <f t="shared" si="909"/>
        <v>12Go Link</v>
      </c>
      <c r="E8533" s="3" t="s">
        <v>6599</v>
      </c>
      <c r="K8533" s="5"/>
    </row>
    <row r="8534">
      <c r="A8534" s="3" t="s">
        <v>8053</v>
      </c>
      <c r="B8534" s="3" t="s">
        <v>8020</v>
      </c>
      <c r="C8534" s="3" t="s">
        <v>8184</v>
      </c>
      <c r="D8534" s="4" t="str">
        <f t="shared" si="909"/>
        <v>12Go Link</v>
      </c>
      <c r="E8534" s="3" t="s">
        <v>3197</v>
      </c>
      <c r="K8534" s="5"/>
    </row>
    <row r="8535">
      <c r="A8535" s="3" t="s">
        <v>8053</v>
      </c>
      <c r="B8535" s="3" t="s">
        <v>8020</v>
      </c>
      <c r="C8535" s="3" t="s">
        <v>8185</v>
      </c>
      <c r="D8535" s="4" t="str">
        <f>HYPERLINK("https://12go.asia/en/travel/Rungkit-Tour-Office-Chumphon/Phuket-Bus-Terminal-2", "12Go Link")</f>
        <v>12Go Link</v>
      </c>
      <c r="E8535" s="3" t="s">
        <v>8186</v>
      </c>
      <c r="K8535" s="5"/>
    </row>
    <row r="8536">
      <c r="A8536" s="3" t="s">
        <v>8053</v>
      </c>
      <c r="B8536" s="3" t="s">
        <v>8028</v>
      </c>
      <c r="C8536" s="3" t="s">
        <v>8187</v>
      </c>
      <c r="D8536" s="4" t="str">
        <f t="shared" ref="D8536:D8539" si="910">HYPERLINK("https://12go.asia/en/travel/Chumphon-Hotel-Transfer/Suvarnabhumi-Airport", "12Go Link")</f>
        <v>12Go Link</v>
      </c>
      <c r="E8536" s="3" t="s">
        <v>222</v>
      </c>
      <c r="K8536" s="5"/>
    </row>
    <row r="8537">
      <c r="A8537" s="3" t="s">
        <v>8053</v>
      </c>
      <c r="B8537" s="3" t="s">
        <v>8028</v>
      </c>
      <c r="C8537" s="3" t="s">
        <v>8187</v>
      </c>
      <c r="D8537" s="4" t="str">
        <f t="shared" si="910"/>
        <v>12Go Link</v>
      </c>
      <c r="E8537" s="3" t="s">
        <v>223</v>
      </c>
      <c r="K8537" s="5"/>
    </row>
    <row r="8538">
      <c r="A8538" s="3" t="s">
        <v>8053</v>
      </c>
      <c r="B8538" s="3" t="s">
        <v>8028</v>
      </c>
      <c r="C8538" s="3" t="s">
        <v>8187</v>
      </c>
      <c r="D8538" s="4" t="str">
        <f t="shared" si="910"/>
        <v>12Go Link</v>
      </c>
      <c r="E8538" s="3" t="s">
        <v>6599</v>
      </c>
      <c r="K8538" s="5"/>
    </row>
    <row r="8539">
      <c r="A8539" s="3" t="s">
        <v>8053</v>
      </c>
      <c r="B8539" s="3" t="s">
        <v>8028</v>
      </c>
      <c r="C8539" s="3" t="s">
        <v>8187</v>
      </c>
      <c r="D8539" s="4" t="str">
        <f t="shared" si="910"/>
        <v>12Go Link</v>
      </c>
      <c r="E8539" s="3" t="s">
        <v>3197</v>
      </c>
      <c r="K8539" s="5"/>
    </row>
    <row r="8540">
      <c r="A8540" s="3" t="s">
        <v>5928</v>
      </c>
      <c r="B8540" s="3" t="s">
        <v>8188</v>
      </c>
      <c r="C8540" s="3" t="s">
        <v>8189</v>
      </c>
      <c r="D8540" s="4" t="str">
        <f>HYPERLINK("https://12go.asia/en/travel/don-mueang-airport/nagarkot", "12Go Link")</f>
        <v>12Go Link</v>
      </c>
      <c r="E8540" s="3" t="s">
        <v>3568</v>
      </c>
      <c r="K8540" s="5"/>
    </row>
    <row r="8541">
      <c r="A8541" s="3" t="s">
        <v>5928</v>
      </c>
      <c r="B8541" s="3" t="s">
        <v>8190</v>
      </c>
      <c r="C8541" s="3" t="s">
        <v>8191</v>
      </c>
      <c r="D8541" s="4" t="str">
        <f>HYPERLINK("https://12go.asia/en/travel/don-mueang-airport/panauti", "12Go Link")</f>
        <v>12Go Link</v>
      </c>
      <c r="E8541" s="3" t="s">
        <v>3568</v>
      </c>
      <c r="K8541" s="5"/>
    </row>
    <row r="8542">
      <c r="A8542" s="3" t="s">
        <v>5928</v>
      </c>
      <c r="B8542" s="3" t="s">
        <v>238</v>
      </c>
      <c r="C8542" s="3" t="s">
        <v>8192</v>
      </c>
      <c r="D8542" s="4" t="str">
        <f t="shared" ref="D8542:D8545" si="911">HYPERLINK("https://12go.asia/en/travel/Don-Mueang-Airport/Bangkok-Transfer", "12Go Link")</f>
        <v>12Go Link</v>
      </c>
      <c r="E8542" s="3" t="s">
        <v>222</v>
      </c>
      <c r="K8542" s="5"/>
    </row>
    <row r="8543">
      <c r="A8543" s="3" t="s">
        <v>5928</v>
      </c>
      <c r="B8543" s="3" t="s">
        <v>238</v>
      </c>
      <c r="C8543" s="3" t="s">
        <v>8192</v>
      </c>
      <c r="D8543" s="4" t="str">
        <f t="shared" si="911"/>
        <v>12Go Link</v>
      </c>
      <c r="E8543" s="3" t="s">
        <v>223</v>
      </c>
      <c r="K8543" s="5"/>
    </row>
    <row r="8544">
      <c r="A8544" s="3" t="s">
        <v>5928</v>
      </c>
      <c r="B8544" s="3" t="s">
        <v>238</v>
      </c>
      <c r="C8544" s="3" t="s">
        <v>8192</v>
      </c>
      <c r="D8544" s="4" t="str">
        <f t="shared" si="911"/>
        <v>12Go Link</v>
      </c>
      <c r="E8544" s="3" t="s">
        <v>6599</v>
      </c>
      <c r="K8544" s="5"/>
    </row>
    <row r="8545">
      <c r="A8545" s="3" t="s">
        <v>5928</v>
      </c>
      <c r="B8545" s="3" t="s">
        <v>238</v>
      </c>
      <c r="C8545" s="3" t="s">
        <v>8192</v>
      </c>
      <c r="D8545" s="4" t="str">
        <f t="shared" si="911"/>
        <v>12Go Link</v>
      </c>
      <c r="E8545" s="3" t="s">
        <v>3197</v>
      </c>
      <c r="K8545" s="5"/>
    </row>
    <row r="8546">
      <c r="A8546" s="3" t="s">
        <v>8193</v>
      </c>
      <c r="B8546" s="3" t="s">
        <v>8008</v>
      </c>
      <c r="C8546" s="3" t="s">
        <v>8194</v>
      </c>
      <c r="D8546" s="4" t="str">
        <f>HYPERLINK("https://12go.asia/en/travel/Donsak-Piers/Ao-Nang-Transfer-except-Krabi-Town-and-Railay", "12Go Link")</f>
        <v>12Go Link</v>
      </c>
      <c r="E8546" s="3" t="s">
        <v>226</v>
      </c>
      <c r="K8546" s="5"/>
    </row>
    <row r="8547">
      <c r="A8547" s="3" t="s">
        <v>8193</v>
      </c>
      <c r="B8547" s="3" t="s">
        <v>238</v>
      </c>
      <c r="C8547" s="3" t="s">
        <v>8195</v>
      </c>
      <c r="D8547" s="4" t="str">
        <f>HYPERLINK("https://12go.asia/en/travel/Donsak-Piers/Bangkok-Hotel-Transfer", "12Go Link")</f>
        <v>12Go Link</v>
      </c>
      <c r="E8547" s="3" t="s">
        <v>226</v>
      </c>
      <c r="K8547" s="5"/>
    </row>
    <row r="8548">
      <c r="A8548" s="3" t="s">
        <v>8193</v>
      </c>
      <c r="B8548" s="3" t="s">
        <v>238</v>
      </c>
      <c r="C8548" s="3" t="s">
        <v>8196</v>
      </c>
      <c r="D8548" s="4" t="str">
        <f>HYPERLINK("https://12go.asia/en/travel/Donsak-Piers/Don-Mueang-International-Airport", "12Go Link")</f>
        <v>12Go Link</v>
      </c>
      <c r="E8548" s="3" t="s">
        <v>226</v>
      </c>
      <c r="K8548" s="5"/>
    </row>
    <row r="8549">
      <c r="A8549" s="3" t="s">
        <v>8193</v>
      </c>
      <c r="B8549" s="3" t="s">
        <v>7475</v>
      </c>
      <c r="C8549" s="3" t="s">
        <v>8197</v>
      </c>
      <c r="D8549" s="4" t="str">
        <f>HYPERLINK("https://12go.asia/en/travel/Donsak-Piers/Hat-Yai-Hotel-Transfer", "12Go Link")</f>
        <v>12Go Link</v>
      </c>
      <c r="E8549" s="3" t="s">
        <v>226</v>
      </c>
      <c r="K8549" s="5"/>
    </row>
    <row r="8550">
      <c r="A8550" s="3" t="s">
        <v>8193</v>
      </c>
      <c r="B8550" s="3" t="s">
        <v>8058</v>
      </c>
      <c r="C8550" s="3" t="s">
        <v>8198</v>
      </c>
      <c r="D8550" s="4" t="str">
        <f>HYPERLINK("https://12go.asia/en/travel/Donsak-Piers/Kanchanaburi-Town-excluding-River-Kwai-and-Sai-Yok", "12Go Link")</f>
        <v>12Go Link</v>
      </c>
      <c r="E8550" s="3" t="s">
        <v>226</v>
      </c>
      <c r="K8550" s="5"/>
    </row>
    <row r="8551">
      <c r="A8551" s="3" t="s">
        <v>8193</v>
      </c>
      <c r="B8551" s="3" t="s">
        <v>8199</v>
      </c>
      <c r="C8551" s="3" t="s">
        <v>8200</v>
      </c>
      <c r="D8551" s="4" t="str">
        <f>HYPERLINK("https://12go.asia/en/travel/Donsak-Piers/Khao-Lak-Transfer", "12Go Link")</f>
        <v>12Go Link</v>
      </c>
      <c r="E8551" s="3" t="s">
        <v>226</v>
      </c>
      <c r="K8551" s="5"/>
    </row>
    <row r="8552">
      <c r="A8552" s="3" t="s">
        <v>8193</v>
      </c>
      <c r="B8552" s="3" t="s">
        <v>8201</v>
      </c>
      <c r="C8552" s="3" t="s">
        <v>8202</v>
      </c>
      <c r="D8552" s="4" t="str">
        <f>HYPERLINK("https://12go.asia/en/travel/Donsak-Piers/Khao-Sok-Hotel-Transfer", "12Go Link")</f>
        <v>12Go Link</v>
      </c>
      <c r="E8552" s="3" t="s">
        <v>226</v>
      </c>
      <c r="K8552" s="5"/>
    </row>
    <row r="8553">
      <c r="A8553" s="3" t="s">
        <v>8193</v>
      </c>
      <c r="B8553" s="3" t="s">
        <v>8203</v>
      </c>
      <c r="C8553" s="3" t="s">
        <v>8204</v>
      </c>
      <c r="D8553" s="4" t="str">
        <f>HYPERLINK("https://12go.asia/en/travel/Donsak-Piers/Koh-Lanta-Hotel-Transfer", "12Go Link")</f>
        <v>12Go Link</v>
      </c>
      <c r="E8553" s="3" t="s">
        <v>226</v>
      </c>
      <c r="K8553" s="5"/>
    </row>
    <row r="8554">
      <c r="A8554" s="3" t="s">
        <v>8193</v>
      </c>
      <c r="B8554" s="3" t="s">
        <v>8018</v>
      </c>
      <c r="C8554" s="3" t="s">
        <v>8205</v>
      </c>
      <c r="D8554" s="4" t="str">
        <f>HYPERLINK("https://12go.asia/en/travel/Donsak-Piers/Ao-Nam-Mao-Pier", "12Go Link")</f>
        <v>12Go Link</v>
      </c>
      <c r="E8554" s="3" t="s">
        <v>226</v>
      </c>
      <c r="K8554" s="5"/>
    </row>
    <row r="8555">
      <c r="A8555" s="3" t="s">
        <v>8193</v>
      </c>
      <c r="B8555" s="3" t="s">
        <v>8018</v>
      </c>
      <c r="C8555" s="3" t="s">
        <v>8206</v>
      </c>
      <c r="D8555" s="4" t="str">
        <f>HYPERLINK("https://12go.asia/en/travel/Donsak-Piers/Klong-Jilad-Pier", "12Go Link")</f>
        <v>12Go Link</v>
      </c>
      <c r="E8555" s="3" t="s">
        <v>226</v>
      </c>
      <c r="K8555" s="5"/>
    </row>
    <row r="8556">
      <c r="A8556" s="3" t="s">
        <v>8193</v>
      </c>
      <c r="B8556" s="3" t="s">
        <v>8018</v>
      </c>
      <c r="C8556" s="3" t="s">
        <v>8207</v>
      </c>
      <c r="D8556" s="4" t="str">
        <f>HYPERLINK("https://12go.asia/en/travel/Donsak-Piers/Krabi-Airport", "12Go Link")</f>
        <v>12Go Link</v>
      </c>
      <c r="E8556" s="3" t="s">
        <v>226</v>
      </c>
      <c r="K8556" s="5"/>
    </row>
    <row r="8557">
      <c r="A8557" s="3" t="s">
        <v>8193</v>
      </c>
      <c r="B8557" s="3" t="s">
        <v>8018</v>
      </c>
      <c r="C8557" s="3" t="s">
        <v>8208</v>
      </c>
      <c r="D8557" s="4" t="str">
        <f>HYPERLINK("https://12go.asia/en/travel/Donsak-Piers/Krabi-Town-Transfer", "12Go Link")</f>
        <v>12Go Link</v>
      </c>
      <c r="E8557" s="3" t="s">
        <v>226</v>
      </c>
      <c r="K8557" s="5"/>
    </row>
    <row r="8558">
      <c r="A8558" s="3" t="s">
        <v>8193</v>
      </c>
      <c r="B8558" s="3" t="s">
        <v>8209</v>
      </c>
      <c r="C8558" s="3" t="s">
        <v>8210</v>
      </c>
      <c r="D8558" s="4" t="str">
        <f>HYPERLINK("https://12go.asia/en/travel/Donsak-Piers/Nakhon-Si-Thammarat-airport", "12Go Link")</f>
        <v>12Go Link</v>
      </c>
      <c r="E8558" s="3" t="s">
        <v>226</v>
      </c>
      <c r="K8558" s="5"/>
    </row>
    <row r="8559">
      <c r="A8559" s="3" t="s">
        <v>8193</v>
      </c>
      <c r="B8559" s="3" t="s">
        <v>358</v>
      </c>
      <c r="C8559" s="3" t="s">
        <v>8211</v>
      </c>
      <c r="D8559" s="4" t="str">
        <f>HYPERLINK("https://12go.asia/en/travel/Donsak-Piers/Pattaya-Hotel-Transfer", "12Go Link")</f>
        <v>12Go Link</v>
      </c>
      <c r="E8559" s="3" t="s">
        <v>226</v>
      </c>
      <c r="K8559" s="5"/>
    </row>
    <row r="8560">
      <c r="A8560" s="3" t="s">
        <v>8193</v>
      </c>
      <c r="B8560" s="3" t="s">
        <v>8083</v>
      </c>
      <c r="C8560" s="3" t="s">
        <v>8212</v>
      </c>
      <c r="D8560" s="4" t="str">
        <f>HYPERLINK("https://12go.asia/en/travel/Donsak-Piers/Phang-Nga-town", "12Go Link")</f>
        <v>12Go Link</v>
      </c>
      <c r="E8560" s="3" t="s">
        <v>226</v>
      </c>
      <c r="K8560" s="5"/>
    </row>
    <row r="8561">
      <c r="A8561" s="3" t="s">
        <v>8193</v>
      </c>
      <c r="B8561" s="3" t="s">
        <v>8085</v>
      </c>
      <c r="C8561" s="3" t="s">
        <v>8213</v>
      </c>
      <c r="D8561" s="4" t="str">
        <f>HYPERLINK("https://12go.asia/en/travel/Donsak-Piers/Cha-Am", "12Go Link")</f>
        <v>12Go Link</v>
      </c>
      <c r="E8561" s="3" t="s">
        <v>226</v>
      </c>
      <c r="K8561" s="5"/>
    </row>
    <row r="8562">
      <c r="A8562" s="3" t="s">
        <v>8193</v>
      </c>
      <c r="B8562" s="3" t="s">
        <v>8020</v>
      </c>
      <c r="C8562" s="3" t="s">
        <v>8214</v>
      </c>
      <c r="D8562" s="4" t="str">
        <f>HYPERLINK("https://12go.asia/en/travel/Donsak-Piers/Kata-Karon-Phuket-Transfer", "12Go Link")</f>
        <v>12Go Link</v>
      </c>
      <c r="E8562" s="3" t="s">
        <v>226</v>
      </c>
      <c r="K8562" s="5"/>
    </row>
    <row r="8563">
      <c r="A8563" s="3" t="s">
        <v>8193</v>
      </c>
      <c r="B8563" s="3" t="s">
        <v>8020</v>
      </c>
      <c r="C8563" s="3" t="s">
        <v>8215</v>
      </c>
      <c r="D8563" s="4" t="str">
        <f>HYPERLINK("https://12go.asia/en/travel/Donsak-Piers/Patong-Phuket-Hotel-Transfer", "12Go Link")</f>
        <v>12Go Link</v>
      </c>
      <c r="E8563" s="3" t="s">
        <v>226</v>
      </c>
      <c r="K8563" s="5"/>
    </row>
    <row r="8564">
      <c r="A8564" s="3" t="s">
        <v>8193</v>
      </c>
      <c r="B8564" s="3" t="s">
        <v>8020</v>
      </c>
      <c r="C8564" s="3" t="s">
        <v>8216</v>
      </c>
      <c r="D8564" s="4" t="str">
        <f t="shared" ref="D8564:D8568" si="912">HYPERLINK("https://12go.asia/en/travel/Donsak-Piers/Phuket-Airport", "12Go Link")</f>
        <v>12Go Link</v>
      </c>
      <c r="E8564" s="3" t="s">
        <v>222</v>
      </c>
      <c r="K8564" s="5"/>
    </row>
    <row r="8565">
      <c r="A8565" s="3" t="s">
        <v>8193</v>
      </c>
      <c r="B8565" s="3" t="s">
        <v>8020</v>
      </c>
      <c r="C8565" s="3" t="s">
        <v>8216</v>
      </c>
      <c r="D8565" s="4" t="str">
        <f t="shared" si="912"/>
        <v>12Go Link</v>
      </c>
      <c r="E8565" s="3" t="s">
        <v>223</v>
      </c>
      <c r="K8565" s="5"/>
    </row>
    <row r="8566">
      <c r="A8566" s="3" t="s">
        <v>8193</v>
      </c>
      <c r="B8566" s="3" t="s">
        <v>8020</v>
      </c>
      <c r="C8566" s="3" t="s">
        <v>8216</v>
      </c>
      <c r="D8566" s="4" t="str">
        <f t="shared" si="912"/>
        <v>12Go Link</v>
      </c>
      <c r="E8566" s="3" t="s">
        <v>6599</v>
      </c>
      <c r="K8566" s="5"/>
    </row>
    <row r="8567">
      <c r="A8567" s="3" t="s">
        <v>8193</v>
      </c>
      <c r="B8567" s="3" t="s">
        <v>8020</v>
      </c>
      <c r="C8567" s="3" t="s">
        <v>8216</v>
      </c>
      <c r="D8567" s="4" t="str">
        <f t="shared" si="912"/>
        <v>12Go Link</v>
      </c>
      <c r="E8567" s="3" t="s">
        <v>226</v>
      </c>
      <c r="K8567" s="5"/>
    </row>
    <row r="8568">
      <c r="A8568" s="3" t="s">
        <v>8193</v>
      </c>
      <c r="B8568" s="3" t="s">
        <v>8020</v>
      </c>
      <c r="C8568" s="3" t="s">
        <v>8216</v>
      </c>
      <c r="D8568" s="4" t="str">
        <f t="shared" si="912"/>
        <v>12Go Link</v>
      </c>
      <c r="E8568" s="3" t="s">
        <v>3197</v>
      </c>
      <c r="K8568" s="5"/>
    </row>
    <row r="8569">
      <c r="A8569" s="3" t="s">
        <v>8193</v>
      </c>
      <c r="B8569" s="3" t="s">
        <v>8020</v>
      </c>
      <c r="C8569" s="3" t="s">
        <v>8217</v>
      </c>
      <c r="D8569" s="4" t="str">
        <f t="shared" ref="D8569:D8572" si="913">HYPERLINK("https://12go.asia/en/travel/Donsak-Piers/Phuket-Hotel-Transfer", "12Go Link")</f>
        <v>12Go Link</v>
      </c>
      <c r="E8569" s="3" t="s">
        <v>222</v>
      </c>
      <c r="K8569" s="5"/>
    </row>
    <row r="8570">
      <c r="A8570" s="3" t="s">
        <v>8193</v>
      </c>
      <c r="B8570" s="3" t="s">
        <v>8020</v>
      </c>
      <c r="C8570" s="3" t="s">
        <v>8217</v>
      </c>
      <c r="D8570" s="4" t="str">
        <f t="shared" si="913"/>
        <v>12Go Link</v>
      </c>
      <c r="E8570" s="3" t="s">
        <v>223</v>
      </c>
      <c r="K8570" s="5"/>
    </row>
    <row r="8571">
      <c r="A8571" s="3" t="s">
        <v>8193</v>
      </c>
      <c r="B8571" s="3" t="s">
        <v>8020</v>
      </c>
      <c r="C8571" s="3" t="s">
        <v>8217</v>
      </c>
      <c r="D8571" s="4" t="str">
        <f t="shared" si="913"/>
        <v>12Go Link</v>
      </c>
      <c r="E8571" s="3" t="s">
        <v>6599</v>
      </c>
      <c r="K8571" s="5"/>
    </row>
    <row r="8572">
      <c r="A8572" s="3" t="s">
        <v>8193</v>
      </c>
      <c r="B8572" s="3" t="s">
        <v>8020</v>
      </c>
      <c r="C8572" s="3" t="s">
        <v>8217</v>
      </c>
      <c r="D8572" s="4" t="str">
        <f t="shared" si="913"/>
        <v>12Go Link</v>
      </c>
      <c r="E8572" s="3" t="s">
        <v>3197</v>
      </c>
      <c r="K8572" s="5"/>
    </row>
    <row r="8573">
      <c r="A8573" s="3" t="s">
        <v>8193</v>
      </c>
      <c r="B8573" s="3" t="s">
        <v>8020</v>
      </c>
      <c r="C8573" s="3" t="s">
        <v>8218</v>
      </c>
      <c r="D8573" s="4" t="str">
        <f>HYPERLINK("https://12go.asia/en/travel/Donsak-Piers/Phuket-Town-Hotel-Transfer", "12Go Link")</f>
        <v>12Go Link</v>
      </c>
      <c r="E8573" s="3" t="s">
        <v>226</v>
      </c>
      <c r="K8573" s="5"/>
    </row>
    <row r="8574">
      <c r="A8574" s="3" t="s">
        <v>8193</v>
      </c>
      <c r="B8574" s="3" t="s">
        <v>8020</v>
      </c>
      <c r="C8574" s="3" t="s">
        <v>8219</v>
      </c>
      <c r="D8574" s="4" t="str">
        <f>HYPERLINK("https://12go.asia/en/travel/Donsak-Piers/Rawai-Hotel-Transfer", "12Go Link")</f>
        <v>12Go Link</v>
      </c>
      <c r="E8574" s="3" t="s">
        <v>226</v>
      </c>
      <c r="K8574" s="5"/>
    </row>
    <row r="8575">
      <c r="A8575" s="3" t="s">
        <v>8193</v>
      </c>
      <c r="B8575" s="3" t="s">
        <v>8023</v>
      </c>
      <c r="C8575" s="3" t="s">
        <v>8220</v>
      </c>
      <c r="D8575" s="4" t="str">
        <f>HYPERLINK("https://12go.asia/en/travel/Donsak-Piers/Pak-Bara-Pier", "12Go Link")</f>
        <v>12Go Link</v>
      </c>
      <c r="E8575" s="3" t="s">
        <v>226</v>
      </c>
      <c r="K8575" s="5"/>
    </row>
    <row r="8576">
      <c r="A8576" s="3" t="s">
        <v>8193</v>
      </c>
      <c r="B8576" s="3" t="s">
        <v>8023</v>
      </c>
      <c r="C8576" s="3" t="s">
        <v>8221</v>
      </c>
      <c r="D8576" s="4" t="str">
        <f>HYPERLINK("https://12go.asia/en/travel/Donsak-Piers/Satun-Town-Hotel-Transfer", "12Go Link")</f>
        <v>12Go Link</v>
      </c>
      <c r="E8576" s="3" t="s">
        <v>226</v>
      </c>
      <c r="K8576" s="5"/>
    </row>
    <row r="8577">
      <c r="A8577" s="3" t="s">
        <v>8193</v>
      </c>
      <c r="B8577" s="3" t="s">
        <v>8098</v>
      </c>
      <c r="C8577" s="3" t="s">
        <v>8222</v>
      </c>
      <c r="D8577" s="4" t="str">
        <f>HYPERLINK("https://12go.asia/en/travel/Donsak-Piers/Ratchaprapha-Dam", "12Go Link")</f>
        <v>12Go Link</v>
      </c>
      <c r="E8577" s="3" t="s">
        <v>226</v>
      </c>
      <c r="K8577" s="5"/>
    </row>
    <row r="8578">
      <c r="A8578" s="3" t="s">
        <v>8193</v>
      </c>
      <c r="B8578" s="3" t="s">
        <v>8098</v>
      </c>
      <c r="C8578" s="3" t="s">
        <v>8223</v>
      </c>
      <c r="D8578" s="4" t="str">
        <f>HYPERLINK("https://12go.asia/en/travel/Donsak-Piers/Surat-Thani-Airport", "12Go Link")</f>
        <v>12Go Link</v>
      </c>
      <c r="E8578" s="3" t="s">
        <v>226</v>
      </c>
      <c r="K8578" s="5"/>
    </row>
    <row r="8579">
      <c r="A8579" s="3" t="s">
        <v>8193</v>
      </c>
      <c r="B8579" s="3" t="s">
        <v>8098</v>
      </c>
      <c r="C8579" s="3" t="s">
        <v>8224</v>
      </c>
      <c r="D8579" s="4" t="str">
        <f>HYPERLINK("https://12go.asia/en/travel/Donsak-Piers/Surat-Thani-Town-Transfer", "12Go Link")</f>
        <v>12Go Link</v>
      </c>
      <c r="E8579" s="3" t="s">
        <v>226</v>
      </c>
      <c r="K8579" s="5"/>
    </row>
    <row r="8580">
      <c r="A8580" s="3" t="s">
        <v>8193</v>
      </c>
      <c r="B8580" s="3" t="s">
        <v>8098</v>
      </c>
      <c r="C8580" s="3" t="s">
        <v>8225</v>
      </c>
      <c r="D8580" s="4" t="str">
        <f>HYPERLINK("https://12go.asia/en/travel/Donsak-Piers/Surat-Thani-train-station", "12Go Link")</f>
        <v>12Go Link</v>
      </c>
      <c r="E8580" s="3" t="s">
        <v>226</v>
      </c>
      <c r="K8580" s="5"/>
    </row>
    <row r="8581">
      <c r="A8581" s="3" t="s">
        <v>8193</v>
      </c>
      <c r="B8581" s="3" t="s">
        <v>8028</v>
      </c>
      <c r="C8581" s="3" t="s">
        <v>8226</v>
      </c>
      <c r="D8581" s="4" t="str">
        <f>HYPERLINK("https://12go.asia/en/travel/Donsak-Piers/Suvarnabhumi-Airport", "12Go Link")</f>
        <v>12Go Link</v>
      </c>
      <c r="E8581" s="3" t="s">
        <v>226</v>
      </c>
      <c r="K8581" s="5"/>
    </row>
    <row r="8582">
      <c r="A8582" s="3" t="s">
        <v>7475</v>
      </c>
      <c r="B8582" s="3" t="s">
        <v>8227</v>
      </c>
      <c r="C8582" s="3" t="s">
        <v>8228</v>
      </c>
      <c r="D8582" s="4" t="str">
        <f>HYPERLINK("https://12go.asia/en/travel/CP-World-Tour/Larkin-Bus-Terminal", "12Go Link")</f>
        <v>12Go Link</v>
      </c>
      <c r="E8582" s="3" t="s">
        <v>8186</v>
      </c>
      <c r="K8582" s="5"/>
    </row>
    <row r="8583">
      <c r="A8583" s="3" t="s">
        <v>7475</v>
      </c>
      <c r="B8583" s="3" t="s">
        <v>7219</v>
      </c>
      <c r="C8583" s="3" t="s">
        <v>8229</v>
      </c>
      <c r="D8583" s="4" t="str">
        <f>HYPERLINK("https://12go.asia/en/travel/CP-World-Tour/Hentian-Duta", "12Go Link")</f>
        <v>12Go Link</v>
      </c>
      <c r="E8583" s="3" t="s">
        <v>8186</v>
      </c>
      <c r="K8583" s="5"/>
    </row>
    <row r="8584">
      <c r="A8584" s="3" t="s">
        <v>7475</v>
      </c>
      <c r="B8584" s="3" t="s">
        <v>7219</v>
      </c>
      <c r="C8584" s="3" t="s">
        <v>8230</v>
      </c>
      <c r="D8584" s="4" t="str">
        <f>HYPERLINK("https://12go.asia/en/travel/CP-World-Tour/TBS-Kuala-Lumpur", "12Go Link")</f>
        <v>12Go Link</v>
      </c>
      <c r="E8584" s="3" t="s">
        <v>8186</v>
      </c>
      <c r="K8584" s="5"/>
    </row>
    <row r="8585">
      <c r="A8585" s="3" t="s">
        <v>7475</v>
      </c>
      <c r="B8585" s="3" t="s">
        <v>8231</v>
      </c>
      <c r="C8585" s="3" t="s">
        <v>8232</v>
      </c>
      <c r="D8585" s="4" t="str">
        <f>HYPERLINK("https://12go.asia/en/travel/CP-World-Tour/Starmart-Jalan-Simpang", "12Go Link")</f>
        <v>12Go Link</v>
      </c>
      <c r="E8585" s="3" t="s">
        <v>8186</v>
      </c>
      <c r="K8585" s="5"/>
    </row>
    <row r="8586">
      <c r="A8586" s="3" t="s">
        <v>7475</v>
      </c>
      <c r="B8586" s="3" t="s">
        <v>8233</v>
      </c>
      <c r="C8586" s="3" t="s">
        <v>8234</v>
      </c>
      <c r="D8586" s="4" t="str">
        <f>HYPERLINK("https://12go.asia/en/travel/CP-World-Tour/Golden-Mile-Tower", "12Go Link")</f>
        <v>12Go Link</v>
      </c>
      <c r="E8586" s="3" t="s">
        <v>8186</v>
      </c>
      <c r="K8586" s="5"/>
    </row>
    <row r="8587">
      <c r="A8587" s="3" t="s">
        <v>7475</v>
      </c>
      <c r="B8587" s="3" t="s">
        <v>8010</v>
      </c>
      <c r="C8587" s="3" t="s">
        <v>8235</v>
      </c>
      <c r="D8587" s="4" t="str">
        <f>HYPERLINK("https://12go.asia/en/travel/Hat-Yai-Airport/Koh-Lipe-Walking-Street", "12Go Link")</f>
        <v>12Go Link</v>
      </c>
      <c r="E8587" s="3" t="s">
        <v>8012</v>
      </c>
      <c r="K8587" s="5"/>
    </row>
    <row r="8588">
      <c r="A8588" s="3" t="s">
        <v>7475</v>
      </c>
      <c r="B8588" s="3" t="s">
        <v>8010</v>
      </c>
      <c r="C8588" s="3" t="s">
        <v>8236</v>
      </c>
      <c r="D8588" s="4" t="str">
        <f>HYPERLINK("https://12go.asia/en/travel/Hat-Yai-Hotel-Transfer/Koh-Lipe-Walking-Street", "12Go Link")</f>
        <v>12Go Link</v>
      </c>
      <c r="E8588" s="3" t="s">
        <v>8237</v>
      </c>
      <c r="K8588" s="5"/>
    </row>
    <row r="8589">
      <c r="A8589" s="3" t="s">
        <v>7475</v>
      </c>
      <c r="B8589" s="3" t="s">
        <v>8238</v>
      </c>
      <c r="C8589" s="3" t="s">
        <v>8239</v>
      </c>
      <c r="D8589" s="4" t="str">
        <f>HYPERLINK("https://12go.asia/en/travel/Hat-Yai-Airport/Pak-Bara-Pier", "12Go Link")</f>
        <v>12Go Link</v>
      </c>
      <c r="E8589" s="3" t="s">
        <v>8027</v>
      </c>
      <c r="K8589" s="5"/>
    </row>
    <row r="8590">
      <c r="A8590" s="3" t="s">
        <v>7475</v>
      </c>
      <c r="B8590" s="3" t="s">
        <v>8020</v>
      </c>
      <c r="C8590" s="3" t="s">
        <v>8240</v>
      </c>
      <c r="D8590" s="4" t="str">
        <f t="shared" ref="D8590:D8593" si="914">HYPERLINK("https://12go.asia/en/travel/Hat-Yai-Hotel-Transfer/Phuket-Hotel-Transfer", "12Go Link")</f>
        <v>12Go Link</v>
      </c>
      <c r="E8590" s="3" t="s">
        <v>222</v>
      </c>
      <c r="K8590" s="5"/>
    </row>
    <row r="8591">
      <c r="A8591" s="3" t="s">
        <v>7475</v>
      </c>
      <c r="B8591" s="3" t="s">
        <v>8020</v>
      </c>
      <c r="C8591" s="3" t="s">
        <v>8240</v>
      </c>
      <c r="D8591" s="4" t="str">
        <f t="shared" si="914"/>
        <v>12Go Link</v>
      </c>
      <c r="E8591" s="3" t="s">
        <v>223</v>
      </c>
      <c r="K8591" s="5"/>
    </row>
    <row r="8592">
      <c r="A8592" s="3" t="s">
        <v>7475</v>
      </c>
      <c r="B8592" s="3" t="s">
        <v>8020</v>
      </c>
      <c r="C8592" s="3" t="s">
        <v>8240</v>
      </c>
      <c r="D8592" s="4" t="str">
        <f t="shared" si="914"/>
        <v>12Go Link</v>
      </c>
      <c r="E8592" s="3" t="s">
        <v>6599</v>
      </c>
      <c r="K8592" s="5"/>
    </row>
    <row r="8593">
      <c r="A8593" s="3" t="s">
        <v>7475</v>
      </c>
      <c r="B8593" s="3" t="s">
        <v>8020</v>
      </c>
      <c r="C8593" s="3" t="s">
        <v>8240</v>
      </c>
      <c r="D8593" s="4" t="str">
        <f t="shared" si="914"/>
        <v>12Go Link</v>
      </c>
      <c r="E8593" s="3" t="s">
        <v>3197</v>
      </c>
      <c r="K8593" s="5"/>
    </row>
    <row r="8594">
      <c r="A8594" s="3" t="s">
        <v>7475</v>
      </c>
      <c r="B8594" s="3" t="s">
        <v>8023</v>
      </c>
      <c r="C8594" s="3" t="s">
        <v>8241</v>
      </c>
      <c r="D8594" s="4" t="str">
        <f>HYPERLINK("https://12go.asia/en/travel/Hat-Yai-Airport/Koh-Bulone-School-Beach", "12Go Link")</f>
        <v>12Go Link</v>
      </c>
      <c r="E8594" s="3" t="s">
        <v>8012</v>
      </c>
      <c r="K8594" s="5"/>
    </row>
    <row r="8595">
      <c r="A8595" s="3" t="s">
        <v>7475</v>
      </c>
      <c r="B8595" s="3" t="s">
        <v>8023</v>
      </c>
      <c r="C8595" s="3" t="s">
        <v>8242</v>
      </c>
      <c r="D8595" s="4" t="str">
        <f>HYPERLINK("https://12go.asia/en/travel/Hat-Yai-Hotel-Transfer/Koh-Bulone-School-Beach", "12Go Link")</f>
        <v>12Go Link</v>
      </c>
      <c r="E8595" s="3" t="s">
        <v>8012</v>
      </c>
      <c r="K8595" s="5"/>
    </row>
    <row r="8596">
      <c r="A8596" s="3" t="s">
        <v>7475</v>
      </c>
      <c r="B8596" s="3" t="s">
        <v>8023</v>
      </c>
      <c r="C8596" s="3" t="s">
        <v>8243</v>
      </c>
      <c r="D8596" s="4" t="str">
        <f t="shared" ref="D8596:D8597" si="915">HYPERLINK("https://12go.asia/en/travel/Hat-Yai-Hotel-Transfer/Pak-Bara-Pier", "12Go Link")</f>
        <v>12Go Link</v>
      </c>
      <c r="E8596" s="3" t="s">
        <v>8244</v>
      </c>
      <c r="K8596" s="5"/>
    </row>
    <row r="8597">
      <c r="A8597" s="3" t="s">
        <v>7475</v>
      </c>
      <c r="B8597" s="3" t="s">
        <v>8023</v>
      </c>
      <c r="C8597" s="3" t="s">
        <v>8243</v>
      </c>
      <c r="D8597" s="4" t="str">
        <f t="shared" si="915"/>
        <v>12Go Link</v>
      </c>
      <c r="E8597" s="3" t="s">
        <v>8012</v>
      </c>
      <c r="K8597" s="5"/>
    </row>
    <row r="8598">
      <c r="A8598" s="3" t="s">
        <v>7475</v>
      </c>
      <c r="B8598" s="3" t="s">
        <v>8098</v>
      </c>
      <c r="C8598" s="3" t="s">
        <v>8245</v>
      </c>
      <c r="D8598" s="4" t="str">
        <f>HYPERLINK("https://12go.asia/en/travel/P-Plus-Express-Office/P-Plus-Express-Office", "12Go Link")</f>
        <v>12Go Link</v>
      </c>
      <c r="E8598" s="3" t="s">
        <v>8186</v>
      </c>
      <c r="K8598" s="5"/>
    </row>
    <row r="8599">
      <c r="A8599" s="3" t="s">
        <v>8056</v>
      </c>
      <c r="B8599" s="3" t="s">
        <v>238</v>
      </c>
      <c r="C8599" s="3" t="s">
        <v>8246</v>
      </c>
      <c r="D8599" s="4" t="str">
        <f t="shared" ref="D8599:D8602" si="916">HYPERLINK("https://12go.asia/en/travel/Hua-Hin-Hotel-Transfer/Bangkok-Transfer", "12Go Link")</f>
        <v>12Go Link</v>
      </c>
      <c r="E8599" s="3" t="s">
        <v>222</v>
      </c>
      <c r="K8599" s="5"/>
    </row>
    <row r="8600">
      <c r="A8600" s="3" t="s">
        <v>8056</v>
      </c>
      <c r="B8600" s="3" t="s">
        <v>238</v>
      </c>
      <c r="C8600" s="3" t="s">
        <v>8246</v>
      </c>
      <c r="D8600" s="4" t="str">
        <f t="shared" si="916"/>
        <v>12Go Link</v>
      </c>
      <c r="E8600" s="3" t="s">
        <v>223</v>
      </c>
      <c r="K8600" s="5"/>
    </row>
    <row r="8601">
      <c r="A8601" s="3" t="s">
        <v>8056</v>
      </c>
      <c r="B8601" s="3" t="s">
        <v>238</v>
      </c>
      <c r="C8601" s="3" t="s">
        <v>8246</v>
      </c>
      <c r="D8601" s="4" t="str">
        <f t="shared" si="916"/>
        <v>12Go Link</v>
      </c>
      <c r="E8601" s="3" t="s">
        <v>6599</v>
      </c>
      <c r="K8601" s="5"/>
    </row>
    <row r="8602">
      <c r="A8602" s="3" t="s">
        <v>8056</v>
      </c>
      <c r="B8602" s="3" t="s">
        <v>238</v>
      </c>
      <c r="C8602" s="3" t="s">
        <v>8246</v>
      </c>
      <c r="D8602" s="4" t="str">
        <f t="shared" si="916"/>
        <v>12Go Link</v>
      </c>
      <c r="E8602" s="3" t="s">
        <v>3197</v>
      </c>
      <c r="K8602" s="5"/>
    </row>
    <row r="8603">
      <c r="A8603" s="3" t="s">
        <v>8056</v>
      </c>
      <c r="B8603" s="3" t="s">
        <v>8020</v>
      </c>
      <c r="C8603" s="3" t="s">
        <v>8247</v>
      </c>
      <c r="D8603" s="4" t="str">
        <f t="shared" ref="D8603:D8606" si="917">HYPERLINK("https://12go.asia/en/travel/Hua-Hin-Hotel-Transfer/Phuket-Hotel-Transfer", "12Go Link")</f>
        <v>12Go Link</v>
      </c>
      <c r="E8603" s="3" t="s">
        <v>222</v>
      </c>
      <c r="K8603" s="5"/>
    </row>
    <row r="8604">
      <c r="A8604" s="3" t="s">
        <v>8056</v>
      </c>
      <c r="B8604" s="3" t="s">
        <v>8020</v>
      </c>
      <c r="C8604" s="3" t="s">
        <v>8247</v>
      </c>
      <c r="D8604" s="4" t="str">
        <f t="shared" si="917"/>
        <v>12Go Link</v>
      </c>
      <c r="E8604" s="3" t="s">
        <v>223</v>
      </c>
      <c r="K8604" s="5"/>
    </row>
    <row r="8605">
      <c r="A8605" s="3" t="s">
        <v>8056</v>
      </c>
      <c r="B8605" s="3" t="s">
        <v>8020</v>
      </c>
      <c r="C8605" s="3" t="s">
        <v>8247</v>
      </c>
      <c r="D8605" s="4" t="str">
        <f t="shared" si="917"/>
        <v>12Go Link</v>
      </c>
      <c r="E8605" s="3" t="s">
        <v>6599</v>
      </c>
      <c r="K8605" s="5"/>
    </row>
    <row r="8606">
      <c r="A8606" s="3" t="s">
        <v>8056</v>
      </c>
      <c r="B8606" s="3" t="s">
        <v>8020</v>
      </c>
      <c r="C8606" s="3" t="s">
        <v>8247</v>
      </c>
      <c r="D8606" s="4" t="str">
        <f t="shared" si="917"/>
        <v>12Go Link</v>
      </c>
      <c r="E8606" s="3" t="s">
        <v>3197</v>
      </c>
      <c r="K8606" s="5"/>
    </row>
    <row r="8607">
      <c r="A8607" s="3" t="s">
        <v>8056</v>
      </c>
      <c r="B8607" s="3" t="s">
        <v>8028</v>
      </c>
      <c r="C8607" s="3" t="s">
        <v>8248</v>
      </c>
      <c r="D8607" s="4" t="str">
        <f t="shared" ref="D8607:D8610" si="918">HYPERLINK("https://12go.asia/en/travel/Hua-Hin-Hotel-Transfer/Suvarnabhumi-Airport", "12Go Link")</f>
        <v>12Go Link</v>
      </c>
      <c r="E8607" s="3" t="s">
        <v>222</v>
      </c>
      <c r="K8607" s="5"/>
    </row>
    <row r="8608">
      <c r="A8608" s="3" t="s">
        <v>8056</v>
      </c>
      <c r="B8608" s="3" t="s">
        <v>8028</v>
      </c>
      <c r="C8608" s="3" t="s">
        <v>8248</v>
      </c>
      <c r="D8608" s="4" t="str">
        <f t="shared" si="918"/>
        <v>12Go Link</v>
      </c>
      <c r="E8608" s="3" t="s">
        <v>223</v>
      </c>
      <c r="K8608" s="5"/>
    </row>
    <row r="8609">
      <c r="A8609" s="3" t="s">
        <v>8056</v>
      </c>
      <c r="B8609" s="3" t="s">
        <v>8028</v>
      </c>
      <c r="C8609" s="3" t="s">
        <v>8248</v>
      </c>
      <c r="D8609" s="4" t="str">
        <f t="shared" si="918"/>
        <v>12Go Link</v>
      </c>
      <c r="E8609" s="3" t="s">
        <v>6599</v>
      </c>
      <c r="K8609" s="5"/>
    </row>
    <row r="8610">
      <c r="A8610" s="3" t="s">
        <v>8056</v>
      </c>
      <c r="B8610" s="3" t="s">
        <v>8028</v>
      </c>
      <c r="C8610" s="3" t="s">
        <v>8248</v>
      </c>
      <c r="D8610" s="4" t="str">
        <f t="shared" si="918"/>
        <v>12Go Link</v>
      </c>
      <c r="E8610" s="3" t="s">
        <v>3197</v>
      </c>
      <c r="K8610" s="5"/>
    </row>
    <row r="8611">
      <c r="A8611" s="3" t="s">
        <v>8058</v>
      </c>
      <c r="B8611" s="3" t="s">
        <v>238</v>
      </c>
      <c r="C8611" s="3" t="s">
        <v>8249</v>
      </c>
      <c r="D8611" s="4" t="str">
        <f t="shared" ref="D8611:D8614" si="919">HYPERLINK("https://12go.asia/en/travel/Kanchanaburi-Hotel-Transfer/Bangkok-Transfer", "12Go Link")</f>
        <v>12Go Link</v>
      </c>
      <c r="E8611" s="3" t="s">
        <v>222</v>
      </c>
      <c r="K8611" s="5"/>
    </row>
    <row r="8612">
      <c r="A8612" s="3" t="s">
        <v>8058</v>
      </c>
      <c r="B8612" s="3" t="s">
        <v>238</v>
      </c>
      <c r="C8612" s="3" t="s">
        <v>8249</v>
      </c>
      <c r="D8612" s="4" t="str">
        <f t="shared" si="919"/>
        <v>12Go Link</v>
      </c>
      <c r="E8612" s="3" t="s">
        <v>223</v>
      </c>
      <c r="K8612" s="5"/>
    </row>
    <row r="8613">
      <c r="A8613" s="3" t="s">
        <v>8058</v>
      </c>
      <c r="B8613" s="3" t="s">
        <v>238</v>
      </c>
      <c r="C8613" s="3" t="s">
        <v>8249</v>
      </c>
      <c r="D8613" s="4" t="str">
        <f t="shared" si="919"/>
        <v>12Go Link</v>
      </c>
      <c r="E8613" s="3" t="s">
        <v>6599</v>
      </c>
      <c r="K8613" s="5"/>
    </row>
    <row r="8614">
      <c r="A8614" s="3" t="s">
        <v>8058</v>
      </c>
      <c r="B8614" s="3" t="s">
        <v>238</v>
      </c>
      <c r="C8614" s="3" t="s">
        <v>8249</v>
      </c>
      <c r="D8614" s="4" t="str">
        <f t="shared" si="919"/>
        <v>12Go Link</v>
      </c>
      <c r="E8614" s="3" t="s">
        <v>3197</v>
      </c>
      <c r="K8614" s="5"/>
    </row>
    <row r="8615">
      <c r="A8615" s="3" t="s">
        <v>8058</v>
      </c>
      <c r="B8615" s="3" t="s">
        <v>8028</v>
      </c>
      <c r="C8615" s="3" t="s">
        <v>8250</v>
      </c>
      <c r="D8615" s="4" t="str">
        <f t="shared" ref="D8615:D8618" si="920">HYPERLINK("https://12go.asia/en/travel/Kanchanaburi-Hotel-Transfer/Suvarnabhumi-Airport", "12Go Link")</f>
        <v>12Go Link</v>
      </c>
      <c r="E8615" s="3" t="s">
        <v>222</v>
      </c>
      <c r="K8615" s="5"/>
    </row>
    <row r="8616">
      <c r="A8616" s="3" t="s">
        <v>8058</v>
      </c>
      <c r="B8616" s="3" t="s">
        <v>8028</v>
      </c>
      <c r="C8616" s="3" t="s">
        <v>8250</v>
      </c>
      <c r="D8616" s="4" t="str">
        <f t="shared" si="920"/>
        <v>12Go Link</v>
      </c>
      <c r="E8616" s="3" t="s">
        <v>223</v>
      </c>
      <c r="K8616" s="5"/>
    </row>
    <row r="8617">
      <c r="A8617" s="3" t="s">
        <v>8058</v>
      </c>
      <c r="B8617" s="3" t="s">
        <v>8028</v>
      </c>
      <c r="C8617" s="3" t="s">
        <v>8250</v>
      </c>
      <c r="D8617" s="4" t="str">
        <f t="shared" si="920"/>
        <v>12Go Link</v>
      </c>
      <c r="E8617" s="3" t="s">
        <v>6599</v>
      </c>
      <c r="K8617" s="5"/>
    </row>
    <row r="8618">
      <c r="A8618" s="3" t="s">
        <v>8058</v>
      </c>
      <c r="B8618" s="3" t="s">
        <v>8028</v>
      </c>
      <c r="C8618" s="3" t="s">
        <v>8250</v>
      </c>
      <c r="D8618" s="4" t="str">
        <f t="shared" si="920"/>
        <v>12Go Link</v>
      </c>
      <c r="E8618" s="3" t="s">
        <v>3197</v>
      </c>
      <c r="K8618" s="5"/>
    </row>
    <row r="8619">
      <c r="A8619" s="3" t="s">
        <v>7492</v>
      </c>
      <c r="B8619" s="3" t="s">
        <v>8020</v>
      </c>
      <c r="C8619" s="3" t="s">
        <v>8251</v>
      </c>
      <c r="D8619" s="4" t="str">
        <f t="shared" ref="D8619:D8622" si="921">HYPERLINK("https://12go.asia/en/travel/Karon-Beach/Phuket-Airport", "12Go Link")</f>
        <v>12Go Link</v>
      </c>
      <c r="E8619" s="3" t="s">
        <v>222</v>
      </c>
      <c r="K8619" s="5"/>
    </row>
    <row r="8620">
      <c r="A8620" s="3" t="s">
        <v>7492</v>
      </c>
      <c r="B8620" s="3" t="s">
        <v>8020</v>
      </c>
      <c r="C8620" s="3" t="s">
        <v>8251</v>
      </c>
      <c r="D8620" s="4" t="str">
        <f t="shared" si="921"/>
        <v>12Go Link</v>
      </c>
      <c r="E8620" s="3" t="s">
        <v>223</v>
      </c>
      <c r="K8620" s="5"/>
    </row>
    <row r="8621">
      <c r="A8621" s="3" t="s">
        <v>7492</v>
      </c>
      <c r="B8621" s="3" t="s">
        <v>8020</v>
      </c>
      <c r="C8621" s="3" t="s">
        <v>8251</v>
      </c>
      <c r="D8621" s="4" t="str">
        <f t="shared" si="921"/>
        <v>12Go Link</v>
      </c>
      <c r="E8621" s="3" t="s">
        <v>6599</v>
      </c>
      <c r="K8621" s="5"/>
    </row>
    <row r="8622">
      <c r="A8622" s="3" t="s">
        <v>7492</v>
      </c>
      <c r="B8622" s="3" t="s">
        <v>8020</v>
      </c>
      <c r="C8622" s="3" t="s">
        <v>8251</v>
      </c>
      <c r="D8622" s="4" t="str">
        <f t="shared" si="921"/>
        <v>12Go Link</v>
      </c>
      <c r="E8622" s="3" t="s">
        <v>3197</v>
      </c>
      <c r="K8622" s="5"/>
    </row>
    <row r="8623">
      <c r="A8623" s="3" t="s">
        <v>8199</v>
      </c>
      <c r="B8623" s="3" t="s">
        <v>8020</v>
      </c>
      <c r="C8623" s="3" t="s">
        <v>8252</v>
      </c>
      <c r="D8623" s="4" t="str">
        <f t="shared" ref="D8623:D8626" si="922">HYPERLINK("https://12go.asia/en/travel/Khao-Lak-Transfer/Phuket-Airport", "12Go Link")</f>
        <v>12Go Link</v>
      </c>
      <c r="E8623" s="3" t="s">
        <v>222</v>
      </c>
      <c r="K8623" s="5"/>
    </row>
    <row r="8624">
      <c r="A8624" s="3" t="s">
        <v>8199</v>
      </c>
      <c r="B8624" s="3" t="s">
        <v>8020</v>
      </c>
      <c r="C8624" s="3" t="s">
        <v>8252</v>
      </c>
      <c r="D8624" s="4" t="str">
        <f t="shared" si="922"/>
        <v>12Go Link</v>
      </c>
      <c r="E8624" s="3" t="s">
        <v>223</v>
      </c>
      <c r="K8624" s="5"/>
    </row>
    <row r="8625">
      <c r="A8625" s="3" t="s">
        <v>8199</v>
      </c>
      <c r="B8625" s="3" t="s">
        <v>8020</v>
      </c>
      <c r="C8625" s="3" t="s">
        <v>8252</v>
      </c>
      <c r="D8625" s="4" t="str">
        <f t="shared" si="922"/>
        <v>12Go Link</v>
      </c>
      <c r="E8625" s="3" t="s">
        <v>6599</v>
      </c>
      <c r="K8625" s="5"/>
    </row>
    <row r="8626">
      <c r="A8626" s="3" t="s">
        <v>8199</v>
      </c>
      <c r="B8626" s="3" t="s">
        <v>8020</v>
      </c>
      <c r="C8626" s="3" t="s">
        <v>8252</v>
      </c>
      <c r="D8626" s="4" t="str">
        <f t="shared" si="922"/>
        <v>12Go Link</v>
      </c>
      <c r="E8626" s="3" t="s">
        <v>3197</v>
      </c>
      <c r="K8626" s="5"/>
    </row>
    <row r="8627">
      <c r="A8627" s="3" t="s">
        <v>8199</v>
      </c>
      <c r="B8627" s="3" t="s">
        <v>8020</v>
      </c>
      <c r="C8627" s="3" t="s">
        <v>8253</v>
      </c>
      <c r="D8627" s="4" t="str">
        <f t="shared" ref="D8627:D8630" si="923">HYPERLINK("https://12go.asia/en/travel/Thap-Lamu-Pier/Phuket-Airport", "12Go Link")</f>
        <v>12Go Link</v>
      </c>
      <c r="E8627" s="3" t="s">
        <v>222</v>
      </c>
      <c r="K8627" s="5"/>
    </row>
    <row r="8628">
      <c r="A8628" s="3" t="s">
        <v>8199</v>
      </c>
      <c r="B8628" s="3" t="s">
        <v>8020</v>
      </c>
      <c r="C8628" s="3" t="s">
        <v>8253</v>
      </c>
      <c r="D8628" s="4" t="str">
        <f t="shared" si="923"/>
        <v>12Go Link</v>
      </c>
      <c r="E8628" s="3" t="s">
        <v>223</v>
      </c>
      <c r="K8628" s="5"/>
    </row>
    <row r="8629">
      <c r="A8629" s="3" t="s">
        <v>8199</v>
      </c>
      <c r="B8629" s="3" t="s">
        <v>8020</v>
      </c>
      <c r="C8629" s="3" t="s">
        <v>8253</v>
      </c>
      <c r="D8629" s="4" t="str">
        <f t="shared" si="923"/>
        <v>12Go Link</v>
      </c>
      <c r="E8629" s="3" t="s">
        <v>6599</v>
      </c>
      <c r="K8629" s="5"/>
    </row>
    <row r="8630">
      <c r="A8630" s="3" t="s">
        <v>8199</v>
      </c>
      <c r="B8630" s="3" t="s">
        <v>8020</v>
      </c>
      <c r="C8630" s="3" t="s">
        <v>8253</v>
      </c>
      <c r="D8630" s="4" t="str">
        <f t="shared" si="923"/>
        <v>12Go Link</v>
      </c>
      <c r="E8630" s="3" t="s">
        <v>3197</v>
      </c>
      <c r="K8630" s="5"/>
    </row>
    <row r="8631">
      <c r="A8631" s="3" t="s">
        <v>8201</v>
      </c>
      <c r="B8631" s="3" t="s">
        <v>8008</v>
      </c>
      <c r="C8631" s="3" t="s">
        <v>8254</v>
      </c>
      <c r="D8631" s="4" t="str">
        <f>HYPERLINK("https://12go.asia/en/travel/Khao-Sok-Hotel-Transfer/Ao-Nang-Transfer-except-Krabi-Town-and-Railay", "12Go Link")</f>
        <v>12Go Link</v>
      </c>
      <c r="E8631" s="3" t="s">
        <v>226</v>
      </c>
      <c r="K8631" s="5"/>
    </row>
    <row r="8632">
      <c r="A8632" s="3" t="s">
        <v>8201</v>
      </c>
      <c r="B8632" s="3" t="s">
        <v>8193</v>
      </c>
      <c r="C8632" s="3" t="s">
        <v>8255</v>
      </c>
      <c r="D8632" s="4" t="str">
        <f>HYPERLINK("https://12go.asia/en/travel/Khao-Sok-Hotel-Transfer/Donsak-Piers", "12Go Link")</f>
        <v>12Go Link</v>
      </c>
      <c r="E8632" s="3" t="s">
        <v>226</v>
      </c>
      <c r="K8632" s="5"/>
    </row>
    <row r="8633">
      <c r="A8633" s="3" t="s">
        <v>8201</v>
      </c>
      <c r="B8633" s="3" t="s">
        <v>8203</v>
      </c>
      <c r="C8633" s="3" t="s">
        <v>8256</v>
      </c>
      <c r="D8633" s="4" t="str">
        <f>HYPERLINK("https://12go.asia/en/travel/Khao-Sok-Hotel-Transfer/Koh-Lanta-Hotel-Transfer", "12Go Link")</f>
        <v>12Go Link</v>
      </c>
      <c r="E8633" s="3" t="s">
        <v>226</v>
      </c>
      <c r="K8633" s="5"/>
    </row>
    <row r="8634">
      <c r="A8634" s="3" t="s">
        <v>8201</v>
      </c>
      <c r="B8634" s="3" t="s">
        <v>8018</v>
      </c>
      <c r="C8634" s="3" t="s">
        <v>8257</v>
      </c>
      <c r="D8634" s="4" t="str">
        <f>HYPERLINK("https://12go.asia/en/travel/Khao-Sok-Hotel-Transfer/Ao-Nam-Mao-Pier", "12Go Link")</f>
        <v>12Go Link</v>
      </c>
      <c r="E8634" s="3" t="s">
        <v>226</v>
      </c>
      <c r="K8634" s="5"/>
    </row>
    <row r="8635">
      <c r="A8635" s="3" t="s">
        <v>8201</v>
      </c>
      <c r="B8635" s="3" t="s">
        <v>8018</v>
      </c>
      <c r="C8635" s="3" t="s">
        <v>8258</v>
      </c>
      <c r="D8635" s="4" t="str">
        <f>HYPERLINK("https://12go.asia/en/travel/Khao-Sok-Hotel-Transfer/Klong-Jilad-Pier", "12Go Link")</f>
        <v>12Go Link</v>
      </c>
      <c r="E8635" s="3" t="s">
        <v>226</v>
      </c>
      <c r="K8635" s="5"/>
    </row>
    <row r="8636">
      <c r="A8636" s="3" t="s">
        <v>8201</v>
      </c>
      <c r="B8636" s="3" t="s">
        <v>8018</v>
      </c>
      <c r="C8636" s="3" t="s">
        <v>8259</v>
      </c>
      <c r="D8636" s="4" t="str">
        <f>HYPERLINK("https://12go.asia/en/travel/Khao-Sok-Hotel-Transfer/Krabi-Town-Transfer", "12Go Link")</f>
        <v>12Go Link</v>
      </c>
      <c r="E8636" s="3" t="s">
        <v>226</v>
      </c>
      <c r="K8636" s="5"/>
    </row>
    <row r="8637">
      <c r="A8637" s="3" t="s">
        <v>8201</v>
      </c>
      <c r="B8637" s="3" t="s">
        <v>8020</v>
      </c>
      <c r="C8637" s="3" t="s">
        <v>8260</v>
      </c>
      <c r="D8637" s="4" t="str">
        <f>HYPERLINK("https://12go.asia/en/travel/Khao-Sok-Hotel-Transfer/Kata-Karon-Phuket-Transfer", "12Go Link")</f>
        <v>12Go Link</v>
      </c>
      <c r="E8637" s="3" t="s">
        <v>226</v>
      </c>
      <c r="K8637" s="5"/>
    </row>
    <row r="8638">
      <c r="A8638" s="3" t="s">
        <v>8201</v>
      </c>
      <c r="B8638" s="3" t="s">
        <v>8020</v>
      </c>
      <c r="C8638" s="3" t="s">
        <v>8261</v>
      </c>
      <c r="D8638" s="4" t="str">
        <f>HYPERLINK("https://12go.asia/en/travel/Khao-Sok-Hotel-Transfer/Patong-Phuket-Hotel-Transfer", "12Go Link")</f>
        <v>12Go Link</v>
      </c>
      <c r="E8638" s="3" t="s">
        <v>226</v>
      </c>
      <c r="K8638" s="5"/>
    </row>
    <row r="8639">
      <c r="A8639" s="3" t="s">
        <v>8201</v>
      </c>
      <c r="B8639" s="3" t="s">
        <v>8020</v>
      </c>
      <c r="C8639" s="3" t="s">
        <v>8262</v>
      </c>
      <c r="D8639" s="4" t="str">
        <f t="shared" ref="D8639:D8643" si="924">HYPERLINK("https://12go.asia/en/travel/Khao-Sok-Hotel-Transfer/Phuket-Airport", "12Go Link")</f>
        <v>12Go Link</v>
      </c>
      <c r="E8639" s="3" t="s">
        <v>222</v>
      </c>
      <c r="K8639" s="5"/>
    </row>
    <row r="8640">
      <c r="A8640" s="3" t="s">
        <v>8201</v>
      </c>
      <c r="B8640" s="3" t="s">
        <v>8020</v>
      </c>
      <c r="C8640" s="3" t="s">
        <v>8262</v>
      </c>
      <c r="D8640" s="4" t="str">
        <f t="shared" si="924"/>
        <v>12Go Link</v>
      </c>
      <c r="E8640" s="3" t="s">
        <v>223</v>
      </c>
      <c r="K8640" s="5"/>
    </row>
    <row r="8641">
      <c r="A8641" s="3" t="s">
        <v>8201</v>
      </c>
      <c r="B8641" s="3" t="s">
        <v>8020</v>
      </c>
      <c r="C8641" s="3" t="s">
        <v>8262</v>
      </c>
      <c r="D8641" s="4" t="str">
        <f t="shared" si="924"/>
        <v>12Go Link</v>
      </c>
      <c r="E8641" s="3" t="s">
        <v>6599</v>
      </c>
      <c r="K8641" s="5"/>
    </row>
    <row r="8642">
      <c r="A8642" s="3" t="s">
        <v>8201</v>
      </c>
      <c r="B8642" s="3" t="s">
        <v>8020</v>
      </c>
      <c r="C8642" s="3" t="s">
        <v>8262</v>
      </c>
      <c r="D8642" s="4" t="str">
        <f t="shared" si="924"/>
        <v>12Go Link</v>
      </c>
      <c r="E8642" s="3" t="s">
        <v>226</v>
      </c>
      <c r="K8642" s="5"/>
    </row>
    <row r="8643">
      <c r="A8643" s="3" t="s">
        <v>8201</v>
      </c>
      <c r="B8643" s="3" t="s">
        <v>8020</v>
      </c>
      <c r="C8643" s="3" t="s">
        <v>8262</v>
      </c>
      <c r="D8643" s="4" t="str">
        <f t="shared" si="924"/>
        <v>12Go Link</v>
      </c>
      <c r="E8643" s="3" t="s">
        <v>3197</v>
      </c>
      <c r="K8643" s="5"/>
    </row>
    <row r="8644">
      <c r="A8644" s="3" t="s">
        <v>8201</v>
      </c>
      <c r="B8644" s="3" t="s">
        <v>8020</v>
      </c>
      <c r="C8644" s="3" t="s">
        <v>8263</v>
      </c>
      <c r="D8644" s="4" t="str">
        <f t="shared" ref="D8644:D8647" si="925">HYPERLINK("https://12go.asia/en/travel/Khao-Sok-Hotel-Transfer/Phuket-Hotel-Transfer", "12Go Link")</f>
        <v>12Go Link</v>
      </c>
      <c r="E8644" s="3" t="s">
        <v>222</v>
      </c>
      <c r="K8644" s="5"/>
    </row>
    <row r="8645">
      <c r="A8645" s="3" t="s">
        <v>8201</v>
      </c>
      <c r="B8645" s="3" t="s">
        <v>8020</v>
      </c>
      <c r="C8645" s="3" t="s">
        <v>8263</v>
      </c>
      <c r="D8645" s="4" t="str">
        <f t="shared" si="925"/>
        <v>12Go Link</v>
      </c>
      <c r="E8645" s="3" t="s">
        <v>223</v>
      </c>
      <c r="K8645" s="5"/>
    </row>
    <row r="8646">
      <c r="A8646" s="3" t="s">
        <v>8201</v>
      </c>
      <c r="B8646" s="3" t="s">
        <v>8020</v>
      </c>
      <c r="C8646" s="3" t="s">
        <v>8263</v>
      </c>
      <c r="D8646" s="4" t="str">
        <f t="shared" si="925"/>
        <v>12Go Link</v>
      </c>
      <c r="E8646" s="3" t="s">
        <v>6599</v>
      </c>
      <c r="K8646" s="5"/>
    </row>
    <row r="8647">
      <c r="A8647" s="3" t="s">
        <v>8201</v>
      </c>
      <c r="B8647" s="3" t="s">
        <v>8020</v>
      </c>
      <c r="C8647" s="3" t="s">
        <v>8263</v>
      </c>
      <c r="D8647" s="4" t="str">
        <f t="shared" si="925"/>
        <v>12Go Link</v>
      </c>
      <c r="E8647" s="3" t="s">
        <v>3197</v>
      </c>
      <c r="K8647" s="5"/>
    </row>
    <row r="8648">
      <c r="A8648" s="3" t="s">
        <v>8201</v>
      </c>
      <c r="B8648" s="3" t="s">
        <v>8020</v>
      </c>
      <c r="C8648" s="3" t="s">
        <v>8264</v>
      </c>
      <c r="D8648" s="4" t="str">
        <f>HYPERLINK("https://12go.asia/en/travel/Khao-Sok-Hotel-Transfer/Phuket-Town-Hotel-Transfer", "12Go Link")</f>
        <v>12Go Link</v>
      </c>
      <c r="E8648" s="3" t="s">
        <v>226</v>
      </c>
      <c r="K8648" s="5"/>
    </row>
    <row r="8649">
      <c r="A8649" s="3" t="s">
        <v>8201</v>
      </c>
      <c r="B8649" s="3" t="s">
        <v>8020</v>
      </c>
      <c r="C8649" s="3" t="s">
        <v>8265</v>
      </c>
      <c r="D8649" s="4" t="str">
        <f>HYPERLINK("https://12go.asia/en/travel/Khao-Sok-Hotel-Transfer/Rawai-Hotel-Transfer", "12Go Link")</f>
        <v>12Go Link</v>
      </c>
      <c r="E8649" s="3" t="s">
        <v>226</v>
      </c>
      <c r="K8649" s="5"/>
    </row>
    <row r="8650">
      <c r="A8650" s="3" t="s">
        <v>8060</v>
      </c>
      <c r="B8650" s="3" t="s">
        <v>238</v>
      </c>
      <c r="C8650" s="3" t="s">
        <v>8266</v>
      </c>
      <c r="D8650" s="4" t="str">
        <f t="shared" ref="D8650:D8653" si="926">HYPERLINK("https://12go.asia/en/travel/Khao-Yai-National-Park/Bangkok-Transfer", "12Go Link")</f>
        <v>12Go Link</v>
      </c>
      <c r="E8650" s="3" t="s">
        <v>222</v>
      </c>
      <c r="K8650" s="5"/>
    </row>
    <row r="8651">
      <c r="A8651" s="3" t="s">
        <v>8060</v>
      </c>
      <c r="B8651" s="3" t="s">
        <v>238</v>
      </c>
      <c r="C8651" s="3" t="s">
        <v>8266</v>
      </c>
      <c r="D8651" s="4" t="str">
        <f t="shared" si="926"/>
        <v>12Go Link</v>
      </c>
      <c r="E8651" s="3" t="s">
        <v>223</v>
      </c>
      <c r="K8651" s="5"/>
    </row>
    <row r="8652">
      <c r="A8652" s="3" t="s">
        <v>8060</v>
      </c>
      <c r="B8652" s="3" t="s">
        <v>238</v>
      </c>
      <c r="C8652" s="3" t="s">
        <v>8266</v>
      </c>
      <c r="D8652" s="4" t="str">
        <f t="shared" si="926"/>
        <v>12Go Link</v>
      </c>
      <c r="E8652" s="3" t="s">
        <v>6599</v>
      </c>
      <c r="K8652" s="5"/>
    </row>
    <row r="8653">
      <c r="A8653" s="3" t="s">
        <v>8060</v>
      </c>
      <c r="B8653" s="3" t="s">
        <v>238</v>
      </c>
      <c r="C8653" s="3" t="s">
        <v>8266</v>
      </c>
      <c r="D8653" s="4" t="str">
        <f t="shared" si="926"/>
        <v>12Go Link</v>
      </c>
      <c r="E8653" s="3" t="s">
        <v>3197</v>
      </c>
      <c r="K8653" s="5"/>
    </row>
    <row r="8654">
      <c r="A8654" s="3" t="s">
        <v>8060</v>
      </c>
      <c r="B8654" s="3" t="s">
        <v>8020</v>
      </c>
      <c r="C8654" s="3" t="s">
        <v>8267</v>
      </c>
      <c r="D8654" s="4" t="str">
        <f t="shared" ref="D8654:D8657" si="927">HYPERLINK("https://12go.asia/en/travel/Khao-Yai-National-Park/Phuket-Hotel-Transfer", "12Go Link")</f>
        <v>12Go Link</v>
      </c>
      <c r="E8654" s="3" t="s">
        <v>222</v>
      </c>
      <c r="K8654" s="5"/>
    </row>
    <row r="8655">
      <c r="A8655" s="3" t="s">
        <v>8060</v>
      </c>
      <c r="B8655" s="3" t="s">
        <v>8020</v>
      </c>
      <c r="C8655" s="3" t="s">
        <v>8267</v>
      </c>
      <c r="D8655" s="4" t="str">
        <f t="shared" si="927"/>
        <v>12Go Link</v>
      </c>
      <c r="E8655" s="3" t="s">
        <v>223</v>
      </c>
      <c r="K8655" s="5"/>
    </row>
    <row r="8656">
      <c r="A8656" s="3" t="s">
        <v>8060</v>
      </c>
      <c r="B8656" s="3" t="s">
        <v>8020</v>
      </c>
      <c r="C8656" s="3" t="s">
        <v>8267</v>
      </c>
      <c r="D8656" s="4" t="str">
        <f t="shared" si="927"/>
        <v>12Go Link</v>
      </c>
      <c r="E8656" s="3" t="s">
        <v>6599</v>
      </c>
      <c r="K8656" s="5"/>
    </row>
    <row r="8657">
      <c r="A8657" s="3" t="s">
        <v>8060</v>
      </c>
      <c r="B8657" s="3" t="s">
        <v>8020</v>
      </c>
      <c r="C8657" s="3" t="s">
        <v>8267</v>
      </c>
      <c r="D8657" s="4" t="str">
        <f t="shared" si="927"/>
        <v>12Go Link</v>
      </c>
      <c r="E8657" s="3" t="s">
        <v>3197</v>
      </c>
      <c r="K8657" s="5"/>
    </row>
    <row r="8658">
      <c r="A8658" s="3" t="s">
        <v>8060</v>
      </c>
      <c r="B8658" s="3" t="s">
        <v>8028</v>
      </c>
      <c r="C8658" s="3" t="s">
        <v>8268</v>
      </c>
      <c r="D8658" s="4" t="str">
        <f t="shared" ref="D8658:D8661" si="928">HYPERLINK("https://12go.asia/en/travel/Khao-Yai-National-Park/Suvarnabhumi-Airport", "12Go Link")</f>
        <v>12Go Link</v>
      </c>
      <c r="E8658" s="3" t="s">
        <v>222</v>
      </c>
      <c r="K8658" s="5"/>
    </row>
    <row r="8659">
      <c r="A8659" s="3" t="s">
        <v>8060</v>
      </c>
      <c r="B8659" s="3" t="s">
        <v>8028</v>
      </c>
      <c r="C8659" s="3" t="s">
        <v>8268</v>
      </c>
      <c r="D8659" s="4" t="str">
        <f t="shared" si="928"/>
        <v>12Go Link</v>
      </c>
      <c r="E8659" s="3" t="s">
        <v>223</v>
      </c>
      <c r="K8659" s="5"/>
    </row>
    <row r="8660">
      <c r="A8660" s="3" t="s">
        <v>8060</v>
      </c>
      <c r="B8660" s="3" t="s">
        <v>8028</v>
      </c>
      <c r="C8660" s="3" t="s">
        <v>8268</v>
      </c>
      <c r="D8660" s="4" t="str">
        <f t="shared" si="928"/>
        <v>12Go Link</v>
      </c>
      <c r="E8660" s="3" t="s">
        <v>6599</v>
      </c>
      <c r="K8660" s="5"/>
    </row>
    <row r="8661">
      <c r="A8661" s="3" t="s">
        <v>8060</v>
      </c>
      <c r="B8661" s="3" t="s">
        <v>8028</v>
      </c>
      <c r="C8661" s="3" t="s">
        <v>8268</v>
      </c>
      <c r="D8661" s="4" t="str">
        <f t="shared" si="928"/>
        <v>12Go Link</v>
      </c>
      <c r="E8661" s="3" t="s">
        <v>3197</v>
      </c>
      <c r="K8661" s="5"/>
    </row>
    <row r="8662">
      <c r="A8662" s="3" t="s">
        <v>7383</v>
      </c>
      <c r="B8662" s="3" t="s">
        <v>238</v>
      </c>
      <c r="C8662" s="3" t="s">
        <v>8269</v>
      </c>
      <c r="D8662" s="4" t="str">
        <f t="shared" ref="D8662:D8665" si="929">HYPERLINK("https://12go.asia/en/travel/Khon-Kaen-Hotel-Transfer/Bangkok-Transfer", "12Go Link")</f>
        <v>12Go Link</v>
      </c>
      <c r="E8662" s="3" t="s">
        <v>222</v>
      </c>
      <c r="K8662" s="5"/>
    </row>
    <row r="8663">
      <c r="A8663" s="3" t="s">
        <v>7383</v>
      </c>
      <c r="B8663" s="3" t="s">
        <v>238</v>
      </c>
      <c r="C8663" s="3" t="s">
        <v>8269</v>
      </c>
      <c r="D8663" s="4" t="str">
        <f t="shared" si="929"/>
        <v>12Go Link</v>
      </c>
      <c r="E8663" s="3" t="s">
        <v>223</v>
      </c>
      <c r="K8663" s="5"/>
    </row>
    <row r="8664">
      <c r="A8664" s="3" t="s">
        <v>7383</v>
      </c>
      <c r="B8664" s="3" t="s">
        <v>238</v>
      </c>
      <c r="C8664" s="3" t="s">
        <v>8269</v>
      </c>
      <c r="D8664" s="4" t="str">
        <f t="shared" si="929"/>
        <v>12Go Link</v>
      </c>
      <c r="E8664" s="3" t="s">
        <v>6599</v>
      </c>
      <c r="K8664" s="5"/>
    </row>
    <row r="8665">
      <c r="A8665" s="3" t="s">
        <v>7383</v>
      </c>
      <c r="B8665" s="3" t="s">
        <v>238</v>
      </c>
      <c r="C8665" s="3" t="s">
        <v>8269</v>
      </c>
      <c r="D8665" s="4" t="str">
        <f t="shared" si="929"/>
        <v>12Go Link</v>
      </c>
      <c r="E8665" s="3" t="s">
        <v>3197</v>
      </c>
      <c r="K8665" s="5"/>
    </row>
    <row r="8666">
      <c r="A8666" s="3" t="s">
        <v>7383</v>
      </c>
      <c r="B8666" s="3" t="s">
        <v>8028</v>
      </c>
      <c r="C8666" s="3" t="s">
        <v>8270</v>
      </c>
      <c r="D8666" s="4" t="str">
        <f t="shared" ref="D8666:D8669" si="930">HYPERLINK("https://12go.asia/en/travel/Khon-Kaen-Hotel-Transfer/Suvarnabhumi-Airport", "12Go Link")</f>
        <v>12Go Link</v>
      </c>
      <c r="E8666" s="3" t="s">
        <v>222</v>
      </c>
      <c r="K8666" s="5"/>
    </row>
    <row r="8667">
      <c r="A8667" s="3" t="s">
        <v>7383</v>
      </c>
      <c r="B8667" s="3" t="s">
        <v>8028</v>
      </c>
      <c r="C8667" s="3" t="s">
        <v>8270</v>
      </c>
      <c r="D8667" s="4" t="str">
        <f t="shared" si="930"/>
        <v>12Go Link</v>
      </c>
      <c r="E8667" s="3" t="s">
        <v>223</v>
      </c>
      <c r="K8667" s="5"/>
    </row>
    <row r="8668">
      <c r="A8668" s="3" t="s">
        <v>7383</v>
      </c>
      <c r="B8668" s="3" t="s">
        <v>8028</v>
      </c>
      <c r="C8668" s="3" t="s">
        <v>8270</v>
      </c>
      <c r="D8668" s="4" t="str">
        <f t="shared" si="930"/>
        <v>12Go Link</v>
      </c>
      <c r="E8668" s="3" t="s">
        <v>6599</v>
      </c>
      <c r="K8668" s="5"/>
    </row>
    <row r="8669">
      <c r="A8669" s="3" t="s">
        <v>7383</v>
      </c>
      <c r="B8669" s="3" t="s">
        <v>8028</v>
      </c>
      <c r="C8669" s="3" t="s">
        <v>8270</v>
      </c>
      <c r="D8669" s="4" t="str">
        <f t="shared" si="930"/>
        <v>12Go Link</v>
      </c>
      <c r="E8669" s="3" t="s">
        <v>3197</v>
      </c>
      <c r="K8669" s="5"/>
    </row>
    <row r="8670">
      <c r="A8670" s="3" t="s">
        <v>8271</v>
      </c>
      <c r="B8670" s="3" t="s">
        <v>8272</v>
      </c>
      <c r="C8670" s="3" t="s">
        <v>8273</v>
      </c>
      <c r="D8670" s="4" t="str">
        <f>HYPERLINK("https://12go.asia/en/travel/khuan-don/nonthaburi", "12Go Link")</f>
        <v>12Go Link</v>
      </c>
      <c r="E8670" s="3" t="s">
        <v>8</v>
      </c>
      <c r="K8670" s="5"/>
    </row>
    <row r="8671">
      <c r="A8671" s="3" t="s">
        <v>8271</v>
      </c>
      <c r="B8671" s="3" t="s">
        <v>5930</v>
      </c>
      <c r="C8671" s="3" t="s">
        <v>8274</v>
      </c>
      <c r="D8671" s="4" t="str">
        <f>HYPERLINK("https://12go.asia/en/travel/khuan-don/rangsit", "12Go Link")</f>
        <v>12Go Link</v>
      </c>
      <c r="E8671" s="3" t="s">
        <v>8</v>
      </c>
      <c r="K8671" s="5"/>
    </row>
    <row r="8672">
      <c r="A8672" s="3" t="s">
        <v>8063</v>
      </c>
      <c r="B8672" s="3" t="s">
        <v>238</v>
      </c>
      <c r="C8672" s="3" t="s">
        <v>8275</v>
      </c>
      <c r="D8672" s="4" t="str">
        <f>HYPERLINK("https://12go.asia/en/travel/Koh-Chang-Transfer/Bangkok-Transfer", "12Go Link")</f>
        <v>12Go Link</v>
      </c>
      <c r="E8672" s="3" t="s">
        <v>8065</v>
      </c>
      <c r="K8672" s="5"/>
    </row>
    <row r="8673">
      <c r="A8673" s="3" t="s">
        <v>8066</v>
      </c>
      <c r="B8673" s="3" t="s">
        <v>238</v>
      </c>
      <c r="C8673" s="3" t="s">
        <v>8276</v>
      </c>
      <c r="D8673" s="4" t="str">
        <f>HYPERLINK("https://12go.asia/en/travel/Koh-Kood-Transfer/Khao-San-Boonsiri", "12Go Link")</f>
        <v>12Go Link</v>
      </c>
      <c r="E8673" s="3" t="s">
        <v>8277</v>
      </c>
      <c r="K8673" s="5"/>
    </row>
    <row r="8674">
      <c r="A8674" s="3" t="s">
        <v>8203</v>
      </c>
      <c r="B8674" s="3" t="s">
        <v>8020</v>
      </c>
      <c r="C8674" s="3" t="s">
        <v>8278</v>
      </c>
      <c r="D8674" s="4" t="str">
        <f t="shared" ref="D8674:D8677" si="931">HYPERLINK("https://12go.asia/en/travel/Koh-Lanta-Hotel-Transfer/Phuket-Airport", "12Go Link")</f>
        <v>12Go Link</v>
      </c>
      <c r="E8674" s="3" t="s">
        <v>222</v>
      </c>
      <c r="K8674" s="5"/>
    </row>
    <row r="8675">
      <c r="A8675" s="3" t="s">
        <v>8203</v>
      </c>
      <c r="B8675" s="3" t="s">
        <v>8020</v>
      </c>
      <c r="C8675" s="3" t="s">
        <v>8278</v>
      </c>
      <c r="D8675" s="4" t="str">
        <f t="shared" si="931"/>
        <v>12Go Link</v>
      </c>
      <c r="E8675" s="3" t="s">
        <v>223</v>
      </c>
      <c r="K8675" s="5"/>
    </row>
    <row r="8676">
      <c r="A8676" s="3" t="s">
        <v>8203</v>
      </c>
      <c r="B8676" s="3" t="s">
        <v>8020</v>
      </c>
      <c r="C8676" s="3" t="s">
        <v>8278</v>
      </c>
      <c r="D8676" s="4" t="str">
        <f t="shared" si="931"/>
        <v>12Go Link</v>
      </c>
      <c r="E8676" s="3" t="s">
        <v>6599</v>
      </c>
      <c r="K8676" s="5"/>
    </row>
    <row r="8677">
      <c r="A8677" s="3" t="s">
        <v>8203</v>
      </c>
      <c r="B8677" s="3" t="s">
        <v>8020</v>
      </c>
      <c r="C8677" s="3" t="s">
        <v>8278</v>
      </c>
      <c r="D8677" s="4" t="str">
        <f t="shared" si="931"/>
        <v>12Go Link</v>
      </c>
      <c r="E8677" s="3" t="s">
        <v>3197</v>
      </c>
      <c r="K8677" s="5"/>
    </row>
    <row r="8678">
      <c r="A8678" s="3" t="s">
        <v>8010</v>
      </c>
      <c r="B8678" s="3" t="s">
        <v>8008</v>
      </c>
      <c r="C8678" s="3" t="s">
        <v>8279</v>
      </c>
      <c r="D8678" s="4" t="str">
        <f>HYPERLINK("https://12go.asia/en/travel/Koh-Lipe-Walking-Street/Ao-Nang", "12Go Link")</f>
        <v>12Go Link</v>
      </c>
      <c r="E8678" s="3" t="s">
        <v>8280</v>
      </c>
      <c r="K8678" s="5"/>
    </row>
    <row r="8679">
      <c r="A8679" s="3" t="s">
        <v>8010</v>
      </c>
      <c r="B8679" s="3" t="s">
        <v>7475</v>
      </c>
      <c r="C8679" s="3" t="s">
        <v>8281</v>
      </c>
      <c r="D8679" s="4" t="str">
        <f>HYPERLINK("https://12go.asia/en/travel/Koh-Lipe-Walking-Street/Hat-Yai-Airport", "12Go Link")</f>
        <v>12Go Link</v>
      </c>
      <c r="E8679" s="3" t="s">
        <v>8280</v>
      </c>
      <c r="K8679" s="5"/>
    </row>
    <row r="8680">
      <c r="A8680" s="3" t="s">
        <v>8010</v>
      </c>
      <c r="B8680" s="3" t="s">
        <v>7475</v>
      </c>
      <c r="C8680" s="3" t="s">
        <v>8282</v>
      </c>
      <c r="D8680" s="4" t="str">
        <f>HYPERLINK("https://12go.asia/en/travel/Koh-Lipe-Walking-Street/Hat-Yai-Transfer", "12Go Link")</f>
        <v>12Go Link</v>
      </c>
      <c r="E8680" s="3" t="s">
        <v>8283</v>
      </c>
      <c r="K8680" s="5"/>
    </row>
    <row r="8681">
      <c r="A8681" s="3" t="s">
        <v>8010</v>
      </c>
      <c r="B8681" s="3" t="s">
        <v>8018</v>
      </c>
      <c r="C8681" s="3" t="s">
        <v>8284</v>
      </c>
      <c r="D8681" s="4" t="str">
        <f>HYPERLINK("https://12go.asia/en/travel/Koh-Lipe-Walking-Street/Krabi-Airport", "12Go Link")</f>
        <v>12Go Link</v>
      </c>
      <c r="E8681" s="3" t="s">
        <v>8280</v>
      </c>
      <c r="K8681" s="5"/>
    </row>
    <row r="8682">
      <c r="A8682" s="3" t="s">
        <v>8010</v>
      </c>
      <c r="B8682" s="3" t="s">
        <v>8018</v>
      </c>
      <c r="C8682" s="3" t="s">
        <v>8285</v>
      </c>
      <c r="D8682" s="4" t="str">
        <f>HYPERLINK("https://12go.asia/en/travel/Koh-Lipe-Walking-Street/Krabi-Town", "12Go Link")</f>
        <v>12Go Link</v>
      </c>
      <c r="E8682" s="3" t="s">
        <v>8280</v>
      </c>
      <c r="K8682" s="5"/>
    </row>
    <row r="8683">
      <c r="A8683" s="3" t="s">
        <v>8010</v>
      </c>
      <c r="B8683" s="3" t="s">
        <v>8238</v>
      </c>
      <c r="C8683" s="3" t="s">
        <v>8286</v>
      </c>
      <c r="D8683" s="4" t="str">
        <f>HYPERLINK("https://12go.asia/en/travel/Koh-Lipe-Walking-Street/Pak-Bara-Pier", "12Go Link")</f>
        <v>12Go Link</v>
      </c>
      <c r="E8683" s="3" t="s">
        <v>6656</v>
      </c>
      <c r="K8683" s="5"/>
    </row>
    <row r="8684">
      <c r="A8684" s="3" t="s">
        <v>8010</v>
      </c>
      <c r="B8684" s="3" t="s">
        <v>8287</v>
      </c>
      <c r="C8684" s="3" t="s">
        <v>8288</v>
      </c>
      <c r="D8684" s="4" t="str">
        <f>HYPERLINK("https://12go.asia/en/travel/Koh-Lipe-Walking-Street/Trang-Airport", "12Go Link")</f>
        <v>12Go Link</v>
      </c>
      <c r="E8684" s="3" t="s">
        <v>8280</v>
      </c>
      <c r="K8684" s="5"/>
    </row>
    <row r="8685">
      <c r="A8685" s="3" t="s">
        <v>8010</v>
      </c>
      <c r="B8685" s="3" t="s">
        <v>8287</v>
      </c>
      <c r="C8685" s="3" t="s">
        <v>8289</v>
      </c>
      <c r="D8685" s="4" t="str">
        <f>HYPERLINK("https://12go.asia/en/travel/Koh-Lipe-Walking-Street/Trang-Town", "12Go Link")</f>
        <v>12Go Link</v>
      </c>
      <c r="E8685" s="3" t="s">
        <v>8280</v>
      </c>
      <c r="K8685" s="5"/>
    </row>
    <row r="8686">
      <c r="A8686" s="3" t="s">
        <v>8290</v>
      </c>
      <c r="B8686" s="3" t="s">
        <v>8018</v>
      </c>
      <c r="C8686" s="3" t="s">
        <v>8291</v>
      </c>
      <c r="D8686" s="4" t="str">
        <f>HYPERLINK("https://12go.asia/en/travel/Ton-Sai-Pier-Koh-Phi-Phi/KP-Office-Krabi", "12Go Link")</f>
        <v>12Go Link</v>
      </c>
      <c r="E8686" s="3" t="s">
        <v>8292</v>
      </c>
      <c r="K8686" s="5"/>
    </row>
    <row r="8687">
      <c r="A8687" s="3" t="s">
        <v>8290</v>
      </c>
      <c r="B8687" s="3" t="s">
        <v>8020</v>
      </c>
      <c r="C8687" s="3" t="s">
        <v>8293</v>
      </c>
      <c r="D8687" s="4" t="str">
        <f>HYPERLINK("https://12go.asia/en/travel/Ton-Sai-Pier-Koh-Phi-Phi/Phuket-Airport", "12Go Link")</f>
        <v>12Go Link</v>
      </c>
      <c r="E8687" s="3" t="s">
        <v>8292</v>
      </c>
      <c r="K8687" s="5"/>
    </row>
    <row r="8688">
      <c r="A8688" s="3" t="s">
        <v>8290</v>
      </c>
      <c r="B8688" s="3" t="s">
        <v>8020</v>
      </c>
      <c r="C8688" s="3" t="s">
        <v>8294</v>
      </c>
      <c r="D8688" s="4" t="str">
        <f>HYPERLINK("https://12go.asia/en/travel/Ton-Sai-Pier-Koh-Phi-Phi/Phuket-Transfer", "12Go Link")</f>
        <v>12Go Link</v>
      </c>
      <c r="E8688" s="3" t="s">
        <v>8292</v>
      </c>
      <c r="K8688" s="5"/>
    </row>
    <row r="8689">
      <c r="A8689" s="3" t="s">
        <v>8016</v>
      </c>
      <c r="B8689" s="3" t="s">
        <v>238</v>
      </c>
      <c r="C8689" s="3" t="s">
        <v>8295</v>
      </c>
      <c r="D8689" s="4" t="str">
        <f>HYPERLINK("https://12go.asia/en/travel/Na-Thon-Pier/Khao-San", "12Go Link")</f>
        <v>12Go Link</v>
      </c>
      <c r="E8689" s="3" t="s">
        <v>8296</v>
      </c>
      <c r="K8689" s="5"/>
    </row>
    <row r="8690">
      <c r="A8690" s="3" t="s">
        <v>8016</v>
      </c>
      <c r="B8690" s="3" t="s">
        <v>8020</v>
      </c>
      <c r="C8690" s="3" t="s">
        <v>8297</v>
      </c>
      <c r="D8690" s="4" t="str">
        <f t="shared" ref="D8690:D8693" si="932">HYPERLINK("https://12go.asia/en/travel/Koh-Samui-Transfer/Phuket-Airport", "12Go Link")</f>
        <v>12Go Link</v>
      </c>
      <c r="E8690" s="3" t="s">
        <v>222</v>
      </c>
      <c r="K8690" s="5"/>
    </row>
    <row r="8691">
      <c r="A8691" s="3" t="s">
        <v>8016</v>
      </c>
      <c r="B8691" s="3" t="s">
        <v>8020</v>
      </c>
      <c r="C8691" s="3" t="s">
        <v>8297</v>
      </c>
      <c r="D8691" s="4" t="str">
        <f t="shared" si="932"/>
        <v>12Go Link</v>
      </c>
      <c r="E8691" s="3" t="s">
        <v>223</v>
      </c>
      <c r="K8691" s="5"/>
    </row>
    <row r="8692">
      <c r="A8692" s="3" t="s">
        <v>8016</v>
      </c>
      <c r="B8692" s="3" t="s">
        <v>8020</v>
      </c>
      <c r="C8692" s="3" t="s">
        <v>8297</v>
      </c>
      <c r="D8692" s="4" t="str">
        <f t="shared" si="932"/>
        <v>12Go Link</v>
      </c>
      <c r="E8692" s="3" t="s">
        <v>6599</v>
      </c>
      <c r="K8692" s="5"/>
    </row>
    <row r="8693">
      <c r="A8693" s="3" t="s">
        <v>8016</v>
      </c>
      <c r="B8693" s="3" t="s">
        <v>8020</v>
      </c>
      <c r="C8693" s="3" t="s">
        <v>8297</v>
      </c>
      <c r="D8693" s="4" t="str">
        <f t="shared" si="932"/>
        <v>12Go Link</v>
      </c>
      <c r="E8693" s="3" t="s">
        <v>3197</v>
      </c>
      <c r="K8693" s="5"/>
    </row>
    <row r="8694">
      <c r="A8694" s="3" t="s">
        <v>8018</v>
      </c>
      <c r="B8694" s="3" t="s">
        <v>8008</v>
      </c>
      <c r="C8694" s="3" t="s">
        <v>8298</v>
      </c>
      <c r="D8694" s="4" t="str">
        <f>HYPERLINK("https://12go.asia/en/travel/KP-Office-Krabi/Ao-Nang-Transfer", "12Go Link")</f>
        <v>12Go Link</v>
      </c>
      <c r="E8694" s="3" t="s">
        <v>8027</v>
      </c>
      <c r="K8694" s="5"/>
    </row>
    <row r="8695">
      <c r="A8695" s="3" t="s">
        <v>8018</v>
      </c>
      <c r="B8695" s="3" t="s">
        <v>238</v>
      </c>
      <c r="C8695" s="3" t="s">
        <v>8299</v>
      </c>
      <c r="D8695" s="4" t="str">
        <f>HYPERLINK("https://12go.asia/en/travel/Krabi-Town-Transfer/Bangkok-Hotel-Transfer", "12Go Link")</f>
        <v>12Go Link</v>
      </c>
      <c r="E8695" s="3" t="s">
        <v>226</v>
      </c>
      <c r="K8695" s="5"/>
    </row>
    <row r="8696">
      <c r="A8696" s="3" t="s">
        <v>8018</v>
      </c>
      <c r="B8696" s="3" t="s">
        <v>238</v>
      </c>
      <c r="C8696" s="3" t="s">
        <v>8300</v>
      </c>
      <c r="D8696" s="4" t="str">
        <f t="shared" ref="D8696:D8699" si="933">HYPERLINK("https://12go.asia/en/travel/Krabi-Town-Transfer/Bangkok-Transfer", "12Go Link")</f>
        <v>12Go Link</v>
      </c>
      <c r="E8696" s="3" t="s">
        <v>222</v>
      </c>
      <c r="K8696" s="5"/>
    </row>
    <row r="8697">
      <c r="A8697" s="3" t="s">
        <v>8018</v>
      </c>
      <c r="B8697" s="3" t="s">
        <v>238</v>
      </c>
      <c r="C8697" s="3" t="s">
        <v>8300</v>
      </c>
      <c r="D8697" s="4" t="str">
        <f t="shared" si="933"/>
        <v>12Go Link</v>
      </c>
      <c r="E8697" s="3" t="s">
        <v>223</v>
      </c>
      <c r="K8697" s="5"/>
    </row>
    <row r="8698">
      <c r="A8698" s="3" t="s">
        <v>8018</v>
      </c>
      <c r="B8698" s="3" t="s">
        <v>238</v>
      </c>
      <c r="C8698" s="3" t="s">
        <v>8300</v>
      </c>
      <c r="D8698" s="4" t="str">
        <f t="shared" si="933"/>
        <v>12Go Link</v>
      </c>
      <c r="E8698" s="3" t="s">
        <v>6599</v>
      </c>
      <c r="K8698" s="5"/>
    </row>
    <row r="8699">
      <c r="A8699" s="3" t="s">
        <v>8018</v>
      </c>
      <c r="B8699" s="3" t="s">
        <v>238</v>
      </c>
      <c r="C8699" s="3" t="s">
        <v>8300</v>
      </c>
      <c r="D8699" s="4" t="str">
        <f t="shared" si="933"/>
        <v>12Go Link</v>
      </c>
      <c r="E8699" s="3" t="s">
        <v>3197</v>
      </c>
      <c r="K8699" s="5"/>
    </row>
    <row r="8700">
      <c r="A8700" s="3" t="s">
        <v>8018</v>
      </c>
      <c r="B8700" s="3" t="s">
        <v>238</v>
      </c>
      <c r="C8700" s="3" t="s">
        <v>8301</v>
      </c>
      <c r="D8700" s="4" t="str">
        <f>HYPERLINK("https://12go.asia/en/travel/Krabi-Town-Transfer/Don-Mueang-International-Airport", "12Go Link")</f>
        <v>12Go Link</v>
      </c>
      <c r="E8700" s="3" t="s">
        <v>226</v>
      </c>
      <c r="K8700" s="5"/>
    </row>
    <row r="8701">
      <c r="A8701" s="3" t="s">
        <v>8018</v>
      </c>
      <c r="B8701" s="3" t="s">
        <v>8193</v>
      </c>
      <c r="C8701" s="3" t="s">
        <v>8302</v>
      </c>
      <c r="D8701" s="4" t="str">
        <f>HYPERLINK("https://12go.asia/en/travel/Krabi-Town-Transfer/Donsak-Piers", "12Go Link")</f>
        <v>12Go Link</v>
      </c>
      <c r="E8701" s="3" t="s">
        <v>226</v>
      </c>
      <c r="K8701" s="5"/>
    </row>
    <row r="8702">
      <c r="A8702" s="3" t="s">
        <v>8018</v>
      </c>
      <c r="B8702" s="3" t="s">
        <v>8058</v>
      </c>
      <c r="C8702" s="3" t="s">
        <v>8303</v>
      </c>
      <c r="D8702" s="4" t="str">
        <f>HYPERLINK("https://12go.asia/en/travel/Krabi-Town-Transfer/Kanchanaburi-Town-excluding-River-Kwai-and-Sai-Yok", "12Go Link")</f>
        <v>12Go Link</v>
      </c>
      <c r="E8702" s="3" t="s">
        <v>226</v>
      </c>
      <c r="K8702" s="5"/>
    </row>
    <row r="8703">
      <c r="A8703" s="3" t="s">
        <v>8018</v>
      </c>
      <c r="B8703" s="3" t="s">
        <v>8199</v>
      </c>
      <c r="C8703" s="3" t="s">
        <v>8304</v>
      </c>
      <c r="D8703" s="4" t="str">
        <f>HYPERLINK("https://12go.asia/en/travel/Krabi-Town-Transfer/Khao-Lak-Transfer", "12Go Link")</f>
        <v>12Go Link</v>
      </c>
      <c r="E8703" s="3" t="s">
        <v>226</v>
      </c>
      <c r="K8703" s="5"/>
    </row>
    <row r="8704">
      <c r="A8704" s="3" t="s">
        <v>8018</v>
      </c>
      <c r="B8704" s="3" t="s">
        <v>8201</v>
      </c>
      <c r="C8704" s="3" t="s">
        <v>8305</v>
      </c>
      <c r="D8704" s="4" t="str">
        <f>HYPERLINK("https://12go.asia/en/travel/Krabi-Town-Transfer/Khao-Sok-Transfer", "12Go Link")</f>
        <v>12Go Link</v>
      </c>
      <c r="E8704" s="3" t="s">
        <v>226</v>
      </c>
      <c r="K8704" s="5"/>
    </row>
    <row r="8705">
      <c r="A8705" s="3" t="s">
        <v>8018</v>
      </c>
      <c r="B8705" s="3" t="s">
        <v>8010</v>
      </c>
      <c r="C8705" s="3" t="s">
        <v>8306</v>
      </c>
      <c r="D8705" s="4" t="str">
        <f>HYPERLINK("https://12go.asia/en/travel/Krabi-Airport/Koh-Lipe-Walking-Street", "12Go Link")</f>
        <v>12Go Link</v>
      </c>
      <c r="E8705" s="3" t="s">
        <v>8012</v>
      </c>
      <c r="K8705" s="5"/>
    </row>
    <row r="8706">
      <c r="A8706" s="3" t="s">
        <v>8018</v>
      </c>
      <c r="B8706" s="3" t="s">
        <v>8010</v>
      </c>
      <c r="C8706" s="3" t="s">
        <v>8307</v>
      </c>
      <c r="D8706" s="4" t="str">
        <f>HYPERLINK("https://12go.asia/en/travel/Krabi-Town/Koh-Lipe-Walking-Street", "12Go Link")</f>
        <v>12Go Link</v>
      </c>
      <c r="E8706" s="3" t="s">
        <v>8012</v>
      </c>
      <c r="K8706" s="5"/>
    </row>
    <row r="8707">
      <c r="A8707" s="3" t="s">
        <v>8018</v>
      </c>
      <c r="B8707" s="3" t="s">
        <v>8010</v>
      </c>
      <c r="C8707" s="3" t="s">
        <v>8308</v>
      </c>
      <c r="D8707" s="4" t="str">
        <f>HYPERLINK("https://12go.asia/en/travel/Krabi-Town-Transfer/Koh-Lipe-Walking-Street", "12Go Link")</f>
        <v>12Go Link</v>
      </c>
      <c r="E8707" s="3" t="s">
        <v>8012</v>
      </c>
      <c r="K8707" s="5"/>
    </row>
    <row r="8708">
      <c r="A8708" s="3" t="s">
        <v>8018</v>
      </c>
      <c r="B8708" s="3" t="s">
        <v>8290</v>
      </c>
      <c r="C8708" s="3" t="s">
        <v>8309</v>
      </c>
      <c r="D8708" s="4" t="str">
        <f>HYPERLINK("https://12go.asia/en/travel/KP-Office-Krabi/Ton-Sai-Pier-Koh-Phi-Phi", "12Go Link")</f>
        <v>12Go Link</v>
      </c>
      <c r="E8708" s="3" t="s">
        <v>8015</v>
      </c>
      <c r="K8708" s="5"/>
    </row>
    <row r="8709">
      <c r="A8709" s="3" t="s">
        <v>8018</v>
      </c>
      <c r="B8709" s="3" t="s">
        <v>358</v>
      </c>
      <c r="C8709" s="3" t="s">
        <v>8310</v>
      </c>
      <c r="D8709" s="4" t="str">
        <f>HYPERLINK("https://12go.asia/en/travel/Krabi-Town-Transfer/Pattaya-Hotel-Transfer", "12Go Link")</f>
        <v>12Go Link</v>
      </c>
      <c r="E8709" s="3" t="s">
        <v>226</v>
      </c>
      <c r="K8709" s="5"/>
    </row>
    <row r="8710">
      <c r="A8710" s="3" t="s">
        <v>8018</v>
      </c>
      <c r="B8710" s="3" t="s">
        <v>8085</v>
      </c>
      <c r="C8710" s="3" t="s">
        <v>8311</v>
      </c>
      <c r="D8710" s="4" t="str">
        <f>HYPERLINK("https://12go.asia/en/travel/Krabi-Town-Transfer/Cha-Am", "12Go Link")</f>
        <v>12Go Link</v>
      </c>
      <c r="E8710" s="3" t="s">
        <v>226</v>
      </c>
      <c r="K8710" s="5"/>
    </row>
    <row r="8711">
      <c r="A8711" s="3" t="s">
        <v>8018</v>
      </c>
      <c r="B8711" s="3" t="s">
        <v>8020</v>
      </c>
      <c r="C8711" s="3" t="s">
        <v>8312</v>
      </c>
      <c r="D8711" s="4" t="str">
        <f>HYPERLINK("https://12go.asia/en/travel/Krabi-Town-Transfer/Kata-Karon-Phuket-Transfer", "12Go Link")</f>
        <v>12Go Link</v>
      </c>
      <c r="E8711" s="3" t="s">
        <v>226</v>
      </c>
      <c r="K8711" s="5"/>
    </row>
    <row r="8712">
      <c r="A8712" s="3" t="s">
        <v>8018</v>
      </c>
      <c r="B8712" s="3" t="s">
        <v>8020</v>
      </c>
      <c r="C8712" s="3" t="s">
        <v>8313</v>
      </c>
      <c r="D8712" s="4" t="str">
        <f t="shared" ref="D8712:D8716" si="934">HYPERLINK("https://12go.asia/en/travel/Krabi-Town-Transfer/Phuket-Airport", "12Go Link")</f>
        <v>12Go Link</v>
      </c>
      <c r="E8712" s="3" t="s">
        <v>222</v>
      </c>
      <c r="K8712" s="5"/>
    </row>
    <row r="8713">
      <c r="A8713" s="3" t="s">
        <v>8018</v>
      </c>
      <c r="B8713" s="3" t="s">
        <v>8020</v>
      </c>
      <c r="C8713" s="3" t="s">
        <v>8313</v>
      </c>
      <c r="D8713" s="4" t="str">
        <f t="shared" si="934"/>
        <v>12Go Link</v>
      </c>
      <c r="E8713" s="3" t="s">
        <v>223</v>
      </c>
      <c r="K8713" s="5"/>
    </row>
    <row r="8714">
      <c r="A8714" s="3" t="s">
        <v>8018</v>
      </c>
      <c r="B8714" s="3" t="s">
        <v>8020</v>
      </c>
      <c r="C8714" s="3" t="s">
        <v>8313</v>
      </c>
      <c r="D8714" s="4" t="str">
        <f t="shared" si="934"/>
        <v>12Go Link</v>
      </c>
      <c r="E8714" s="3" t="s">
        <v>6599</v>
      </c>
      <c r="K8714" s="5"/>
    </row>
    <row r="8715">
      <c r="A8715" s="3" t="s">
        <v>8018</v>
      </c>
      <c r="B8715" s="3" t="s">
        <v>8020</v>
      </c>
      <c r="C8715" s="3" t="s">
        <v>8313</v>
      </c>
      <c r="D8715" s="4" t="str">
        <f t="shared" si="934"/>
        <v>12Go Link</v>
      </c>
      <c r="E8715" s="3" t="s">
        <v>226</v>
      </c>
      <c r="K8715" s="5"/>
    </row>
    <row r="8716">
      <c r="A8716" s="3" t="s">
        <v>8018</v>
      </c>
      <c r="B8716" s="3" t="s">
        <v>8020</v>
      </c>
      <c r="C8716" s="3" t="s">
        <v>8313</v>
      </c>
      <c r="D8716" s="4" t="str">
        <f t="shared" si="934"/>
        <v>12Go Link</v>
      </c>
      <c r="E8716" s="3" t="s">
        <v>3197</v>
      </c>
      <c r="K8716" s="5"/>
    </row>
    <row r="8717">
      <c r="A8717" s="3" t="s">
        <v>8018</v>
      </c>
      <c r="B8717" s="3" t="s">
        <v>8020</v>
      </c>
      <c r="C8717" s="3" t="s">
        <v>8314</v>
      </c>
      <c r="D8717" s="4" t="str">
        <f>HYPERLINK("https://12go.asia/en/travel/Krabi-Town-Transfer/Phuket-Town-Hotel-Transfer", "12Go Link")</f>
        <v>12Go Link</v>
      </c>
      <c r="E8717" s="3" t="s">
        <v>226</v>
      </c>
      <c r="K8717" s="5"/>
    </row>
    <row r="8718">
      <c r="A8718" s="3" t="s">
        <v>8018</v>
      </c>
      <c r="B8718" s="3" t="s">
        <v>8020</v>
      </c>
      <c r="C8718" s="3" t="s">
        <v>8315</v>
      </c>
      <c r="D8718" s="4" t="str">
        <f>HYPERLINK("https://12go.asia/en/travel/Krabi-Town-Transfer/Rawai-Hotel-Transfer", "12Go Link")</f>
        <v>12Go Link</v>
      </c>
      <c r="E8718" s="3" t="s">
        <v>226</v>
      </c>
      <c r="K8718" s="5"/>
    </row>
    <row r="8719">
      <c r="A8719" s="3" t="s">
        <v>8018</v>
      </c>
      <c r="B8719" s="3" t="s">
        <v>8023</v>
      </c>
      <c r="C8719" s="3" t="s">
        <v>8316</v>
      </c>
      <c r="D8719" s="4" t="str">
        <f>HYPERLINK("https://12go.asia/en/travel/Krabi-Airport/Koh-Bulone-School-Beach", "12Go Link")</f>
        <v>12Go Link</v>
      </c>
      <c r="E8719" s="3" t="s">
        <v>8012</v>
      </c>
      <c r="K8719" s="5"/>
    </row>
    <row r="8720">
      <c r="A8720" s="3" t="s">
        <v>8018</v>
      </c>
      <c r="B8720" s="3" t="s">
        <v>8023</v>
      </c>
      <c r="C8720" s="3" t="s">
        <v>8317</v>
      </c>
      <c r="D8720" s="4" t="str">
        <f>HYPERLINK("https://12go.asia/en/travel/Krabi-Town/Koh-Bulone-School-Beach", "12Go Link")</f>
        <v>12Go Link</v>
      </c>
      <c r="E8720" s="3" t="s">
        <v>8012</v>
      </c>
      <c r="K8720" s="5"/>
    </row>
    <row r="8721">
      <c r="A8721" s="3" t="s">
        <v>8018</v>
      </c>
      <c r="B8721" s="3" t="s">
        <v>8098</v>
      </c>
      <c r="C8721" s="3" t="s">
        <v>8318</v>
      </c>
      <c r="D8721" s="4" t="str">
        <f>HYPERLINK("https://12go.asia/en/travel/Krabi-Town-Transfer/Night-Boat-Port", "12Go Link")</f>
        <v>12Go Link</v>
      </c>
      <c r="E8721" s="3" t="s">
        <v>226</v>
      </c>
      <c r="K8721" s="5"/>
    </row>
    <row r="8722">
      <c r="A8722" s="3" t="s">
        <v>8018</v>
      </c>
      <c r="B8722" s="3" t="s">
        <v>8098</v>
      </c>
      <c r="C8722" s="3" t="s">
        <v>8319</v>
      </c>
      <c r="D8722" s="4" t="str">
        <f>HYPERLINK("https://12go.asia/en/travel/Krabi-Town-Transfer/Ratchaprapha-Dam", "12Go Link")</f>
        <v>12Go Link</v>
      </c>
      <c r="E8722" s="3" t="s">
        <v>226</v>
      </c>
      <c r="K8722" s="5"/>
    </row>
    <row r="8723">
      <c r="A8723" s="3" t="s">
        <v>8018</v>
      </c>
      <c r="B8723" s="3" t="s">
        <v>8098</v>
      </c>
      <c r="C8723" s="3" t="s">
        <v>8320</v>
      </c>
      <c r="D8723" s="4" t="str">
        <f>HYPERLINK("https://12go.asia/en/travel/Krabi-Town-Transfer/Surat-Thani-Town-Transfer", "12Go Link")</f>
        <v>12Go Link</v>
      </c>
      <c r="E8723" s="3" t="s">
        <v>226</v>
      </c>
      <c r="K8723" s="5"/>
    </row>
    <row r="8724">
      <c r="A8724" s="3" t="s">
        <v>8018</v>
      </c>
      <c r="B8724" s="3" t="s">
        <v>8098</v>
      </c>
      <c r="C8724" s="3" t="s">
        <v>8321</v>
      </c>
      <c r="D8724" s="4" t="str">
        <f>HYPERLINK("https://12go.asia/en/travel/Krabi-Town-Transfer/Surat-Thani-train-station", "12Go Link")</f>
        <v>12Go Link</v>
      </c>
      <c r="E8724" s="3" t="s">
        <v>226</v>
      </c>
      <c r="K8724" s="5"/>
    </row>
    <row r="8725">
      <c r="A8725" s="3" t="s">
        <v>8018</v>
      </c>
      <c r="B8725" s="3" t="s">
        <v>8025</v>
      </c>
      <c r="C8725" s="3" t="s">
        <v>8322</v>
      </c>
      <c r="D8725" s="4" t="str">
        <f>HYPERLINK("https://12go.asia/en/travel/Ao-Nam-Mao-pier/Surat-Thani-Town", "12Go Link")</f>
        <v>12Go Link</v>
      </c>
      <c r="E8725" s="3" t="s">
        <v>8027</v>
      </c>
      <c r="K8725" s="5"/>
    </row>
    <row r="8726">
      <c r="A8726" s="3" t="s">
        <v>8018</v>
      </c>
      <c r="B8726" s="3" t="s">
        <v>8028</v>
      </c>
      <c r="C8726" s="3" t="s">
        <v>8323</v>
      </c>
      <c r="D8726" s="4" t="str">
        <f t="shared" ref="D8726:D8730" si="935">HYPERLINK("https://12go.asia/en/travel/Krabi-Town-Transfer/Suvarnabhumi-Airport", "12Go Link")</f>
        <v>12Go Link</v>
      </c>
      <c r="E8726" s="3" t="s">
        <v>222</v>
      </c>
      <c r="K8726" s="5"/>
    </row>
    <row r="8727">
      <c r="A8727" s="3" t="s">
        <v>8018</v>
      </c>
      <c r="B8727" s="3" t="s">
        <v>8028</v>
      </c>
      <c r="C8727" s="3" t="s">
        <v>8323</v>
      </c>
      <c r="D8727" s="4" t="str">
        <f t="shared" si="935"/>
        <v>12Go Link</v>
      </c>
      <c r="E8727" s="3" t="s">
        <v>223</v>
      </c>
      <c r="K8727" s="5"/>
    </row>
    <row r="8728">
      <c r="A8728" s="3" t="s">
        <v>8018</v>
      </c>
      <c r="B8728" s="3" t="s">
        <v>8028</v>
      </c>
      <c r="C8728" s="3" t="s">
        <v>8323</v>
      </c>
      <c r="D8728" s="4" t="str">
        <f t="shared" si="935"/>
        <v>12Go Link</v>
      </c>
      <c r="E8728" s="3" t="s">
        <v>6599</v>
      </c>
      <c r="K8728" s="5"/>
    </row>
    <row r="8729">
      <c r="A8729" s="3" t="s">
        <v>8018</v>
      </c>
      <c r="B8729" s="3" t="s">
        <v>8028</v>
      </c>
      <c r="C8729" s="3" t="s">
        <v>8323</v>
      </c>
      <c r="D8729" s="4" t="str">
        <f t="shared" si="935"/>
        <v>12Go Link</v>
      </c>
      <c r="E8729" s="3" t="s">
        <v>226</v>
      </c>
      <c r="K8729" s="5"/>
    </row>
    <row r="8730">
      <c r="A8730" s="3" t="s">
        <v>8018</v>
      </c>
      <c r="B8730" s="3" t="s">
        <v>8028</v>
      </c>
      <c r="C8730" s="3" t="s">
        <v>8323</v>
      </c>
      <c r="D8730" s="4" t="str">
        <f t="shared" si="935"/>
        <v>12Go Link</v>
      </c>
      <c r="E8730" s="3" t="s">
        <v>3197</v>
      </c>
      <c r="K8730" s="5"/>
    </row>
    <row r="8731">
      <c r="A8731" s="3" t="s">
        <v>8073</v>
      </c>
      <c r="B8731" s="3" t="s">
        <v>238</v>
      </c>
      <c r="C8731" s="3" t="s">
        <v>8324</v>
      </c>
      <c r="D8731" s="4" t="str">
        <f>HYPERLINK("https://12go.asia/en/travel/lamnam-kra-buri-national-park/bangkok", "12Go Link")</f>
        <v>12Go Link</v>
      </c>
      <c r="E8731" s="3" t="s">
        <v>8</v>
      </c>
      <c r="K8731" s="5"/>
    </row>
    <row r="8732">
      <c r="A8732" s="3" t="s">
        <v>8138</v>
      </c>
      <c r="B8732" s="3" t="s">
        <v>8047</v>
      </c>
      <c r="C8732" s="3" t="s">
        <v>8325</v>
      </c>
      <c r="D8732" s="4" t="str">
        <f t="shared" ref="D8732:D8734" si="936">HYPERLINK("https://12go.asia/en/travel/Lampang-Hotel-Transfer/Chiang-Mai-Airport", "12Go Link")</f>
        <v>12Go Link</v>
      </c>
      <c r="E8732" s="3" t="s">
        <v>222</v>
      </c>
      <c r="K8732" s="5"/>
    </row>
    <row r="8733">
      <c r="A8733" s="3" t="s">
        <v>8138</v>
      </c>
      <c r="B8733" s="3" t="s">
        <v>8047</v>
      </c>
      <c r="C8733" s="3" t="s">
        <v>8325</v>
      </c>
      <c r="D8733" s="4" t="str">
        <f t="shared" si="936"/>
        <v>12Go Link</v>
      </c>
      <c r="E8733" s="3" t="s">
        <v>8111</v>
      </c>
      <c r="K8733" s="5"/>
    </row>
    <row r="8734">
      <c r="A8734" s="3" t="s">
        <v>8138</v>
      </c>
      <c r="B8734" s="3" t="s">
        <v>8047</v>
      </c>
      <c r="C8734" s="3" t="s">
        <v>8325</v>
      </c>
      <c r="D8734" s="4" t="str">
        <f t="shared" si="936"/>
        <v>12Go Link</v>
      </c>
      <c r="E8734" s="3" t="s">
        <v>3197</v>
      </c>
      <c r="K8734" s="5"/>
    </row>
    <row r="8735">
      <c r="A8735" s="3" t="s">
        <v>8138</v>
      </c>
      <c r="B8735" s="3" t="s">
        <v>8047</v>
      </c>
      <c r="C8735" s="3" t="s">
        <v>8326</v>
      </c>
      <c r="D8735" s="4" t="str">
        <f t="shared" ref="D8735:D8737" si="937">HYPERLINK("https://12go.asia/en/travel/Lampang-Hotel-Transfer/Chiang-Mai-City-Transfer", "12Go Link")</f>
        <v>12Go Link</v>
      </c>
      <c r="E8735" s="3" t="s">
        <v>222</v>
      </c>
      <c r="K8735" s="5"/>
    </row>
    <row r="8736">
      <c r="A8736" s="3" t="s">
        <v>8138</v>
      </c>
      <c r="B8736" s="3" t="s">
        <v>8047</v>
      </c>
      <c r="C8736" s="3" t="s">
        <v>8326</v>
      </c>
      <c r="D8736" s="4" t="str">
        <f t="shared" si="937"/>
        <v>12Go Link</v>
      </c>
      <c r="E8736" s="3" t="s">
        <v>8111</v>
      </c>
      <c r="K8736" s="5"/>
    </row>
    <row r="8737">
      <c r="A8737" s="3" t="s">
        <v>8138</v>
      </c>
      <c r="B8737" s="3" t="s">
        <v>8047</v>
      </c>
      <c r="C8737" s="3" t="s">
        <v>8326</v>
      </c>
      <c r="D8737" s="4" t="str">
        <f t="shared" si="937"/>
        <v>12Go Link</v>
      </c>
      <c r="E8737" s="3" t="s">
        <v>3197</v>
      </c>
      <c r="K8737" s="5"/>
    </row>
    <row r="8738">
      <c r="A8738" s="3" t="s">
        <v>8140</v>
      </c>
      <c r="B8738" s="3" t="s">
        <v>8047</v>
      </c>
      <c r="C8738" s="3" t="s">
        <v>8327</v>
      </c>
      <c r="D8738" s="4" t="str">
        <f t="shared" ref="D8738:D8740" si="938">HYPERLINK("https://12go.asia/en/travel/Mae-Sai/Chiang-Mai-Airport", "12Go Link")</f>
        <v>12Go Link</v>
      </c>
      <c r="E8738" s="3" t="s">
        <v>222</v>
      </c>
      <c r="K8738" s="5"/>
    </row>
    <row r="8739">
      <c r="A8739" s="3" t="s">
        <v>8140</v>
      </c>
      <c r="B8739" s="3" t="s">
        <v>8047</v>
      </c>
      <c r="C8739" s="3" t="s">
        <v>8327</v>
      </c>
      <c r="D8739" s="4" t="str">
        <f t="shared" si="938"/>
        <v>12Go Link</v>
      </c>
      <c r="E8739" s="3" t="s">
        <v>8111</v>
      </c>
      <c r="K8739" s="5"/>
    </row>
    <row r="8740">
      <c r="A8740" s="3" t="s">
        <v>8140</v>
      </c>
      <c r="B8740" s="3" t="s">
        <v>8047</v>
      </c>
      <c r="C8740" s="3" t="s">
        <v>8327</v>
      </c>
      <c r="D8740" s="4" t="str">
        <f t="shared" si="938"/>
        <v>12Go Link</v>
      </c>
      <c r="E8740" s="3" t="s">
        <v>3197</v>
      </c>
      <c r="K8740" s="5"/>
    </row>
    <row r="8741">
      <c r="A8741" s="3" t="s">
        <v>8140</v>
      </c>
      <c r="B8741" s="3" t="s">
        <v>8047</v>
      </c>
      <c r="C8741" s="3" t="s">
        <v>8328</v>
      </c>
      <c r="D8741" s="4" t="str">
        <f t="shared" ref="D8741:D8743" si="939">HYPERLINK("https://12go.asia/en/travel/Mae-Sai/Chiang-Mai-City-Transfer", "12Go Link")</f>
        <v>12Go Link</v>
      </c>
      <c r="E8741" s="3" t="s">
        <v>222</v>
      </c>
      <c r="K8741" s="5"/>
    </row>
    <row r="8742">
      <c r="A8742" s="3" t="s">
        <v>8140</v>
      </c>
      <c r="B8742" s="3" t="s">
        <v>8047</v>
      </c>
      <c r="C8742" s="3" t="s">
        <v>8328</v>
      </c>
      <c r="D8742" s="4" t="str">
        <f t="shared" si="939"/>
        <v>12Go Link</v>
      </c>
      <c r="E8742" s="3" t="s">
        <v>8111</v>
      </c>
      <c r="K8742" s="5"/>
    </row>
    <row r="8743">
      <c r="A8743" s="3" t="s">
        <v>8140</v>
      </c>
      <c r="B8743" s="3" t="s">
        <v>8047</v>
      </c>
      <c r="C8743" s="3" t="s">
        <v>8328</v>
      </c>
      <c r="D8743" s="4" t="str">
        <f t="shared" si="939"/>
        <v>12Go Link</v>
      </c>
      <c r="E8743" s="3" t="s">
        <v>3197</v>
      </c>
      <c r="K8743" s="5"/>
    </row>
    <row r="8744">
      <c r="A8744" s="3" t="s">
        <v>8140</v>
      </c>
      <c r="B8744" s="3" t="s">
        <v>8049</v>
      </c>
      <c r="C8744" s="3" t="s">
        <v>8329</v>
      </c>
      <c r="D8744" s="4" t="str">
        <f t="shared" ref="D8744:D8746" si="940">HYPERLINK("https://12go.asia/en/travel/Mae-Sai/Chiang-Rai-Airport", "12Go Link")</f>
        <v>12Go Link</v>
      </c>
      <c r="E8744" s="3" t="s">
        <v>222</v>
      </c>
      <c r="K8744" s="5"/>
    </row>
    <row r="8745">
      <c r="A8745" s="3" t="s">
        <v>8140</v>
      </c>
      <c r="B8745" s="3" t="s">
        <v>8049</v>
      </c>
      <c r="C8745" s="3" t="s">
        <v>8329</v>
      </c>
      <c r="D8745" s="4" t="str">
        <f t="shared" si="940"/>
        <v>12Go Link</v>
      </c>
      <c r="E8745" s="3" t="s">
        <v>8111</v>
      </c>
      <c r="K8745" s="5"/>
    </row>
    <row r="8746">
      <c r="A8746" s="3" t="s">
        <v>8140</v>
      </c>
      <c r="B8746" s="3" t="s">
        <v>8049</v>
      </c>
      <c r="C8746" s="3" t="s">
        <v>8329</v>
      </c>
      <c r="D8746" s="4" t="str">
        <f t="shared" si="940"/>
        <v>12Go Link</v>
      </c>
      <c r="E8746" s="3" t="s">
        <v>3197</v>
      </c>
      <c r="K8746" s="5"/>
    </row>
    <row r="8747">
      <c r="A8747" s="3" t="s">
        <v>8140</v>
      </c>
      <c r="B8747" s="3" t="s">
        <v>8049</v>
      </c>
      <c r="C8747" s="3" t="s">
        <v>8330</v>
      </c>
      <c r="D8747" s="4" t="str">
        <f t="shared" ref="D8747:D8749" si="941">HYPERLINK("https://12go.asia/en/travel/Mae-Sai/Chiang-Rai-Transfer", "12Go Link")</f>
        <v>12Go Link</v>
      </c>
      <c r="E8747" s="3" t="s">
        <v>222</v>
      </c>
      <c r="K8747" s="5"/>
    </row>
    <row r="8748">
      <c r="A8748" s="3" t="s">
        <v>8140</v>
      </c>
      <c r="B8748" s="3" t="s">
        <v>8049</v>
      </c>
      <c r="C8748" s="3" t="s">
        <v>8330</v>
      </c>
      <c r="D8748" s="4" t="str">
        <f t="shared" si="941"/>
        <v>12Go Link</v>
      </c>
      <c r="E8748" s="3" t="s">
        <v>8111</v>
      </c>
      <c r="K8748" s="5"/>
    </row>
    <row r="8749">
      <c r="A8749" s="3" t="s">
        <v>8140</v>
      </c>
      <c r="B8749" s="3" t="s">
        <v>8049</v>
      </c>
      <c r="C8749" s="3" t="s">
        <v>8330</v>
      </c>
      <c r="D8749" s="4" t="str">
        <f t="shared" si="941"/>
        <v>12Go Link</v>
      </c>
      <c r="E8749" s="3" t="s">
        <v>3197</v>
      </c>
      <c r="K8749" s="5"/>
    </row>
    <row r="8750">
      <c r="A8750" s="3" t="s">
        <v>8075</v>
      </c>
      <c r="B8750" s="3" t="s">
        <v>238</v>
      </c>
      <c r="C8750" s="3" t="s">
        <v>8331</v>
      </c>
      <c r="D8750" s="4" t="str">
        <f t="shared" ref="D8750:D8753" si="942">HYPERLINK("https://12go.asia/en/travel/Mae-Sot-Transfer/Bangkok-Transfer", "12Go Link")</f>
        <v>12Go Link</v>
      </c>
      <c r="E8750" s="3" t="s">
        <v>222</v>
      </c>
      <c r="K8750" s="5"/>
    </row>
    <row r="8751">
      <c r="A8751" s="3" t="s">
        <v>8075</v>
      </c>
      <c r="B8751" s="3" t="s">
        <v>238</v>
      </c>
      <c r="C8751" s="3" t="s">
        <v>8331</v>
      </c>
      <c r="D8751" s="4" t="str">
        <f t="shared" si="942"/>
        <v>12Go Link</v>
      </c>
      <c r="E8751" s="3" t="s">
        <v>223</v>
      </c>
      <c r="K8751" s="5"/>
    </row>
    <row r="8752">
      <c r="A8752" s="3" t="s">
        <v>8075</v>
      </c>
      <c r="B8752" s="3" t="s">
        <v>238</v>
      </c>
      <c r="C8752" s="3" t="s">
        <v>8331</v>
      </c>
      <c r="D8752" s="4" t="str">
        <f t="shared" si="942"/>
        <v>12Go Link</v>
      </c>
      <c r="E8752" s="3" t="s">
        <v>6599</v>
      </c>
      <c r="K8752" s="5"/>
    </row>
    <row r="8753">
      <c r="A8753" s="3" t="s">
        <v>8075</v>
      </c>
      <c r="B8753" s="3" t="s">
        <v>238</v>
      </c>
      <c r="C8753" s="3" t="s">
        <v>8331</v>
      </c>
      <c r="D8753" s="4" t="str">
        <f t="shared" si="942"/>
        <v>12Go Link</v>
      </c>
      <c r="E8753" s="3" t="s">
        <v>3197</v>
      </c>
      <c r="K8753" s="5"/>
    </row>
    <row r="8754">
      <c r="A8754" s="3" t="s">
        <v>8075</v>
      </c>
      <c r="B8754" s="3" t="s">
        <v>8028</v>
      </c>
      <c r="C8754" s="3" t="s">
        <v>8332</v>
      </c>
      <c r="D8754" s="4" t="str">
        <f t="shared" ref="D8754:D8757" si="943">HYPERLINK("https://12go.asia/en/travel/Mae-Sot-Transfer/Suvarnabhumi-Airport", "12Go Link")</f>
        <v>12Go Link</v>
      </c>
      <c r="E8754" s="3" t="s">
        <v>222</v>
      </c>
      <c r="K8754" s="5"/>
    </row>
    <row r="8755">
      <c r="A8755" s="3" t="s">
        <v>8075</v>
      </c>
      <c r="B8755" s="3" t="s">
        <v>8028</v>
      </c>
      <c r="C8755" s="3" t="s">
        <v>8332</v>
      </c>
      <c r="D8755" s="4" t="str">
        <f t="shared" si="943"/>
        <v>12Go Link</v>
      </c>
      <c r="E8755" s="3" t="s">
        <v>223</v>
      </c>
      <c r="K8755" s="5"/>
    </row>
    <row r="8756">
      <c r="A8756" s="3" t="s">
        <v>8075</v>
      </c>
      <c r="B8756" s="3" t="s">
        <v>8028</v>
      </c>
      <c r="C8756" s="3" t="s">
        <v>8332</v>
      </c>
      <c r="D8756" s="4" t="str">
        <f t="shared" si="943"/>
        <v>12Go Link</v>
      </c>
      <c r="E8756" s="3" t="s">
        <v>6599</v>
      </c>
      <c r="K8756" s="5"/>
    </row>
    <row r="8757">
      <c r="A8757" s="3" t="s">
        <v>8075</v>
      </c>
      <c r="B8757" s="3" t="s">
        <v>8028</v>
      </c>
      <c r="C8757" s="3" t="s">
        <v>8332</v>
      </c>
      <c r="D8757" s="4" t="str">
        <f t="shared" si="943"/>
        <v>12Go Link</v>
      </c>
      <c r="E8757" s="3" t="s">
        <v>3197</v>
      </c>
      <c r="K8757" s="5"/>
    </row>
    <row r="8758">
      <c r="A8758" s="3" t="s">
        <v>8333</v>
      </c>
      <c r="B8758" s="3" t="s">
        <v>8037</v>
      </c>
      <c r="C8758" s="3" t="s">
        <v>8334</v>
      </c>
      <c r="D8758" s="4" t="str">
        <f>HYPERLINK("https://12go.asia/en/travel/nakhon-pathom/roi-et", "12Go Link")</f>
        <v>12Go Link</v>
      </c>
      <c r="E8758" s="3" t="s">
        <v>8</v>
      </c>
      <c r="K8758" s="5"/>
    </row>
    <row r="8759">
      <c r="A8759" s="3" t="s">
        <v>8333</v>
      </c>
      <c r="B8759" s="3" t="s">
        <v>8025</v>
      </c>
      <c r="C8759" s="3" t="s">
        <v>8335</v>
      </c>
      <c r="D8759" s="4" t="str">
        <f>HYPERLINK("https://12go.asia/en/travel/nakhon-pathom/surat-thani-town", "12Go Link")</f>
        <v>12Go Link</v>
      </c>
      <c r="E8759" s="3" t="s">
        <v>8</v>
      </c>
      <c r="K8759" s="5"/>
    </row>
    <row r="8760">
      <c r="A8760" s="3" t="s">
        <v>8077</v>
      </c>
      <c r="B8760" s="3" t="s">
        <v>238</v>
      </c>
      <c r="C8760" s="3" t="s">
        <v>8336</v>
      </c>
      <c r="D8760" s="4" t="str">
        <f t="shared" ref="D8760:D8763" si="944">HYPERLINK("https://12go.asia/en/travel/Nakhon-Ratchasima/Bangkok-Transfer", "12Go Link")</f>
        <v>12Go Link</v>
      </c>
      <c r="E8760" s="3" t="s">
        <v>222</v>
      </c>
      <c r="K8760" s="5"/>
    </row>
    <row r="8761">
      <c r="A8761" s="3" t="s">
        <v>8077</v>
      </c>
      <c r="B8761" s="3" t="s">
        <v>238</v>
      </c>
      <c r="C8761" s="3" t="s">
        <v>8336</v>
      </c>
      <c r="D8761" s="4" t="str">
        <f t="shared" si="944"/>
        <v>12Go Link</v>
      </c>
      <c r="E8761" s="3" t="s">
        <v>223</v>
      </c>
      <c r="K8761" s="5"/>
    </row>
    <row r="8762">
      <c r="A8762" s="3" t="s">
        <v>8077</v>
      </c>
      <c r="B8762" s="3" t="s">
        <v>238</v>
      </c>
      <c r="C8762" s="3" t="s">
        <v>8336</v>
      </c>
      <c r="D8762" s="4" t="str">
        <f t="shared" si="944"/>
        <v>12Go Link</v>
      </c>
      <c r="E8762" s="3" t="s">
        <v>6599</v>
      </c>
      <c r="K8762" s="5"/>
    </row>
    <row r="8763">
      <c r="A8763" s="3" t="s">
        <v>8077</v>
      </c>
      <c r="B8763" s="3" t="s">
        <v>238</v>
      </c>
      <c r="C8763" s="3" t="s">
        <v>8336</v>
      </c>
      <c r="D8763" s="4" t="str">
        <f t="shared" si="944"/>
        <v>12Go Link</v>
      </c>
      <c r="E8763" s="3" t="s">
        <v>3197</v>
      </c>
      <c r="K8763" s="5"/>
    </row>
    <row r="8764">
      <c r="A8764" s="3" t="s">
        <v>8077</v>
      </c>
      <c r="B8764" s="3" t="s">
        <v>8028</v>
      </c>
      <c r="C8764" s="3" t="s">
        <v>8337</v>
      </c>
      <c r="D8764" s="4" t="str">
        <f t="shared" ref="D8764:D8767" si="945">HYPERLINK("https://12go.asia/en/travel/Nakhon-Ratchasima/Suvarnabhumi-Airport", "12Go Link")</f>
        <v>12Go Link</v>
      </c>
      <c r="E8764" s="3" t="s">
        <v>222</v>
      </c>
      <c r="K8764" s="5"/>
    </row>
    <row r="8765">
      <c r="A8765" s="3" t="s">
        <v>8077</v>
      </c>
      <c r="B8765" s="3" t="s">
        <v>8028</v>
      </c>
      <c r="C8765" s="3" t="s">
        <v>8337</v>
      </c>
      <c r="D8765" s="4" t="str">
        <f t="shared" si="945"/>
        <v>12Go Link</v>
      </c>
      <c r="E8765" s="3" t="s">
        <v>223</v>
      </c>
      <c r="K8765" s="5"/>
    </row>
    <row r="8766">
      <c r="A8766" s="3" t="s">
        <v>8077</v>
      </c>
      <c r="B8766" s="3" t="s">
        <v>8028</v>
      </c>
      <c r="C8766" s="3" t="s">
        <v>8337</v>
      </c>
      <c r="D8766" s="4" t="str">
        <f t="shared" si="945"/>
        <v>12Go Link</v>
      </c>
      <c r="E8766" s="3" t="s">
        <v>6599</v>
      </c>
      <c r="K8766" s="5"/>
    </row>
    <row r="8767">
      <c r="A8767" s="3" t="s">
        <v>8077</v>
      </c>
      <c r="B8767" s="3" t="s">
        <v>8028</v>
      </c>
      <c r="C8767" s="3" t="s">
        <v>8337</v>
      </c>
      <c r="D8767" s="4" t="str">
        <f t="shared" si="945"/>
        <v>12Go Link</v>
      </c>
      <c r="E8767" s="3" t="s">
        <v>3197</v>
      </c>
      <c r="K8767" s="5"/>
    </row>
    <row r="8768">
      <c r="A8768" s="3" t="s">
        <v>8338</v>
      </c>
      <c r="B8768" s="3" t="s">
        <v>238</v>
      </c>
      <c r="C8768" s="3" t="s">
        <v>8339</v>
      </c>
      <c r="D8768" s="4" t="str">
        <f>HYPERLINK("https://12go.asia/en/travel/nam-nao-national-park/bangkok", "12Go Link")</f>
        <v>12Go Link</v>
      </c>
      <c r="E8768" s="3" t="s">
        <v>8</v>
      </c>
      <c r="K8768" s="5"/>
    </row>
    <row r="8769">
      <c r="A8769" s="3" t="s">
        <v>8142</v>
      </c>
      <c r="B8769" s="3" t="s">
        <v>8047</v>
      </c>
      <c r="C8769" s="3" t="s">
        <v>8340</v>
      </c>
      <c r="D8769" s="4" t="str">
        <f t="shared" ref="D8769:D8771" si="946">HYPERLINK("https://12go.asia/en/travel/Nan-Hotel-Transfer/Chiang-Mai-Airport", "12Go Link")</f>
        <v>12Go Link</v>
      </c>
      <c r="E8769" s="3" t="s">
        <v>222</v>
      </c>
      <c r="K8769" s="5"/>
    </row>
    <row r="8770">
      <c r="A8770" s="3" t="s">
        <v>8142</v>
      </c>
      <c r="B8770" s="3" t="s">
        <v>8047</v>
      </c>
      <c r="C8770" s="3" t="s">
        <v>8340</v>
      </c>
      <c r="D8770" s="4" t="str">
        <f t="shared" si="946"/>
        <v>12Go Link</v>
      </c>
      <c r="E8770" s="3" t="s">
        <v>8111</v>
      </c>
      <c r="K8770" s="5"/>
    </row>
    <row r="8771">
      <c r="A8771" s="3" t="s">
        <v>8142</v>
      </c>
      <c r="B8771" s="3" t="s">
        <v>8047</v>
      </c>
      <c r="C8771" s="3" t="s">
        <v>8340</v>
      </c>
      <c r="D8771" s="4" t="str">
        <f t="shared" si="946"/>
        <v>12Go Link</v>
      </c>
      <c r="E8771" s="3" t="s">
        <v>3197</v>
      </c>
      <c r="K8771" s="5"/>
    </row>
    <row r="8772">
      <c r="A8772" s="3" t="s">
        <v>8142</v>
      </c>
      <c r="B8772" s="3" t="s">
        <v>8047</v>
      </c>
      <c r="C8772" s="3" t="s">
        <v>8341</v>
      </c>
      <c r="D8772" s="4" t="str">
        <f t="shared" ref="D8772:D8774" si="947">HYPERLINK("https://12go.asia/en/travel/Nan-Hotel-Transfer/Chiang-Mai-City-Transfer", "12Go Link")</f>
        <v>12Go Link</v>
      </c>
      <c r="E8772" s="3" t="s">
        <v>222</v>
      </c>
      <c r="K8772" s="5"/>
    </row>
    <row r="8773">
      <c r="A8773" s="3" t="s">
        <v>8142</v>
      </c>
      <c r="B8773" s="3" t="s">
        <v>8047</v>
      </c>
      <c r="C8773" s="3" t="s">
        <v>8341</v>
      </c>
      <c r="D8773" s="4" t="str">
        <f t="shared" si="947"/>
        <v>12Go Link</v>
      </c>
      <c r="E8773" s="3" t="s">
        <v>8111</v>
      </c>
      <c r="K8773" s="5"/>
    </row>
    <row r="8774">
      <c r="A8774" s="3" t="s">
        <v>8142</v>
      </c>
      <c r="B8774" s="3" t="s">
        <v>8047</v>
      </c>
      <c r="C8774" s="3" t="s">
        <v>8341</v>
      </c>
      <c r="D8774" s="4" t="str">
        <f t="shared" si="947"/>
        <v>12Go Link</v>
      </c>
      <c r="E8774" s="3" t="s">
        <v>3197</v>
      </c>
      <c r="K8774" s="5"/>
    </row>
    <row r="8775">
      <c r="A8775" s="3" t="s">
        <v>7388</v>
      </c>
      <c r="B8775" s="3" t="s">
        <v>238</v>
      </c>
      <c r="C8775" s="3" t="s">
        <v>8342</v>
      </c>
      <c r="D8775" s="4" t="str">
        <f t="shared" ref="D8775:D8778" si="948">HYPERLINK("https://12go.asia/en/travel/Nong-Khai-Hotel-Transfer/Bangkok-Transfer", "12Go Link")</f>
        <v>12Go Link</v>
      </c>
      <c r="E8775" s="3" t="s">
        <v>222</v>
      </c>
      <c r="K8775" s="5"/>
    </row>
    <row r="8776">
      <c r="A8776" s="3" t="s">
        <v>7388</v>
      </c>
      <c r="B8776" s="3" t="s">
        <v>238</v>
      </c>
      <c r="C8776" s="3" t="s">
        <v>8342</v>
      </c>
      <c r="D8776" s="4" t="str">
        <f t="shared" si="948"/>
        <v>12Go Link</v>
      </c>
      <c r="E8776" s="3" t="s">
        <v>223</v>
      </c>
      <c r="K8776" s="5"/>
    </row>
    <row r="8777">
      <c r="A8777" s="3" t="s">
        <v>7388</v>
      </c>
      <c r="B8777" s="3" t="s">
        <v>238</v>
      </c>
      <c r="C8777" s="3" t="s">
        <v>8342</v>
      </c>
      <c r="D8777" s="4" t="str">
        <f t="shared" si="948"/>
        <v>12Go Link</v>
      </c>
      <c r="E8777" s="3" t="s">
        <v>6599</v>
      </c>
      <c r="K8777" s="5"/>
    </row>
    <row r="8778">
      <c r="A8778" s="3" t="s">
        <v>7388</v>
      </c>
      <c r="B8778" s="3" t="s">
        <v>238</v>
      </c>
      <c r="C8778" s="3" t="s">
        <v>8342</v>
      </c>
      <c r="D8778" s="4" t="str">
        <f t="shared" si="948"/>
        <v>12Go Link</v>
      </c>
      <c r="E8778" s="3" t="s">
        <v>3197</v>
      </c>
      <c r="K8778" s="5"/>
    </row>
    <row r="8779">
      <c r="A8779" s="3" t="s">
        <v>8080</v>
      </c>
      <c r="B8779" s="3" t="s">
        <v>238</v>
      </c>
      <c r="C8779" s="3" t="s">
        <v>8343</v>
      </c>
      <c r="D8779" s="4" t="str">
        <f t="shared" ref="D8779:D8782" si="949">HYPERLINK("https://12go.asia/en/travel/Pai/Bangkok-Transfer", "12Go Link")</f>
        <v>12Go Link</v>
      </c>
      <c r="E8779" s="3" t="s">
        <v>222</v>
      </c>
      <c r="K8779" s="5"/>
    </row>
    <row r="8780">
      <c r="A8780" s="3" t="s">
        <v>8080</v>
      </c>
      <c r="B8780" s="3" t="s">
        <v>238</v>
      </c>
      <c r="C8780" s="3" t="s">
        <v>8343</v>
      </c>
      <c r="D8780" s="4" t="str">
        <f t="shared" si="949"/>
        <v>12Go Link</v>
      </c>
      <c r="E8780" s="3" t="s">
        <v>223</v>
      </c>
      <c r="K8780" s="5"/>
    </row>
    <row r="8781">
      <c r="A8781" s="3" t="s">
        <v>8080</v>
      </c>
      <c r="B8781" s="3" t="s">
        <v>238</v>
      </c>
      <c r="C8781" s="3" t="s">
        <v>8343</v>
      </c>
      <c r="D8781" s="4" t="str">
        <f t="shared" si="949"/>
        <v>12Go Link</v>
      </c>
      <c r="E8781" s="3" t="s">
        <v>6599</v>
      </c>
      <c r="K8781" s="5"/>
    </row>
    <row r="8782">
      <c r="A8782" s="3" t="s">
        <v>8080</v>
      </c>
      <c r="B8782" s="3" t="s">
        <v>238</v>
      </c>
      <c r="C8782" s="3" t="s">
        <v>8343</v>
      </c>
      <c r="D8782" s="4" t="str">
        <f t="shared" si="949"/>
        <v>12Go Link</v>
      </c>
      <c r="E8782" s="3" t="s">
        <v>3197</v>
      </c>
      <c r="K8782" s="5"/>
    </row>
    <row r="8783">
      <c r="A8783" s="3" t="s">
        <v>8080</v>
      </c>
      <c r="B8783" s="3" t="s">
        <v>8047</v>
      </c>
      <c r="C8783" s="3" t="s">
        <v>8344</v>
      </c>
      <c r="D8783" s="4" t="str">
        <f t="shared" ref="D8783:D8785" si="950">HYPERLINK("https://12go.asia/en/travel/Pai-Hotel-Transfer/Chiang-Mai-Airport", "12Go Link")</f>
        <v>12Go Link</v>
      </c>
      <c r="E8783" s="3" t="s">
        <v>222</v>
      </c>
      <c r="K8783" s="5"/>
    </row>
    <row r="8784">
      <c r="A8784" s="3" t="s">
        <v>8080</v>
      </c>
      <c r="B8784" s="3" t="s">
        <v>8047</v>
      </c>
      <c r="C8784" s="3" t="s">
        <v>8344</v>
      </c>
      <c r="D8784" s="4" t="str">
        <f t="shared" si="950"/>
        <v>12Go Link</v>
      </c>
      <c r="E8784" s="3" t="s">
        <v>8111</v>
      </c>
      <c r="K8784" s="5"/>
    </row>
    <row r="8785">
      <c r="A8785" s="3" t="s">
        <v>8080</v>
      </c>
      <c r="B8785" s="3" t="s">
        <v>8047</v>
      </c>
      <c r="C8785" s="3" t="s">
        <v>8344</v>
      </c>
      <c r="D8785" s="4" t="str">
        <f t="shared" si="950"/>
        <v>12Go Link</v>
      </c>
      <c r="E8785" s="3" t="s">
        <v>3197</v>
      </c>
      <c r="K8785" s="5"/>
    </row>
    <row r="8786">
      <c r="A8786" s="3" t="s">
        <v>8080</v>
      </c>
      <c r="B8786" s="3" t="s">
        <v>8047</v>
      </c>
      <c r="C8786" s="3" t="s">
        <v>8345</v>
      </c>
      <c r="D8786" s="4" t="str">
        <f t="shared" ref="D8786:D8788" si="951">HYPERLINK("https://12go.asia/en/travel/Pai-Hotel-Transfer/Chiang-Mai-City-Transfer", "12Go Link")</f>
        <v>12Go Link</v>
      </c>
      <c r="E8786" s="3" t="s">
        <v>222</v>
      </c>
      <c r="K8786" s="5"/>
    </row>
    <row r="8787">
      <c r="A8787" s="3" t="s">
        <v>8080</v>
      </c>
      <c r="B8787" s="3" t="s">
        <v>8047</v>
      </c>
      <c r="C8787" s="3" t="s">
        <v>8345</v>
      </c>
      <c r="D8787" s="4" t="str">
        <f t="shared" si="951"/>
        <v>12Go Link</v>
      </c>
      <c r="E8787" s="3" t="s">
        <v>8111</v>
      </c>
      <c r="K8787" s="5"/>
    </row>
    <row r="8788">
      <c r="A8788" s="3" t="s">
        <v>8080</v>
      </c>
      <c r="B8788" s="3" t="s">
        <v>8047</v>
      </c>
      <c r="C8788" s="3" t="s">
        <v>8345</v>
      </c>
      <c r="D8788" s="4" t="str">
        <f t="shared" si="951"/>
        <v>12Go Link</v>
      </c>
      <c r="E8788" s="3" t="s">
        <v>3197</v>
      </c>
      <c r="K8788" s="5"/>
    </row>
    <row r="8789">
      <c r="A8789" s="3" t="s">
        <v>8080</v>
      </c>
      <c r="B8789" s="3" t="s">
        <v>8028</v>
      </c>
      <c r="C8789" s="3" t="s">
        <v>8346</v>
      </c>
      <c r="D8789" s="4" t="str">
        <f t="shared" ref="D8789:D8792" si="952">HYPERLINK("https://12go.asia/en/travel/Pai/Suvarnabhumi-Airport", "12Go Link")</f>
        <v>12Go Link</v>
      </c>
      <c r="E8789" s="3" t="s">
        <v>222</v>
      </c>
      <c r="K8789" s="5"/>
    </row>
    <row r="8790">
      <c r="A8790" s="3" t="s">
        <v>8080</v>
      </c>
      <c r="B8790" s="3" t="s">
        <v>8028</v>
      </c>
      <c r="C8790" s="3" t="s">
        <v>8346</v>
      </c>
      <c r="D8790" s="4" t="str">
        <f t="shared" si="952"/>
        <v>12Go Link</v>
      </c>
      <c r="E8790" s="3" t="s">
        <v>223</v>
      </c>
      <c r="K8790" s="5"/>
    </row>
    <row r="8791">
      <c r="A8791" s="3" t="s">
        <v>8080</v>
      </c>
      <c r="B8791" s="3" t="s">
        <v>8028</v>
      </c>
      <c r="C8791" s="3" t="s">
        <v>8346</v>
      </c>
      <c r="D8791" s="4" t="str">
        <f t="shared" si="952"/>
        <v>12Go Link</v>
      </c>
      <c r="E8791" s="3" t="s">
        <v>6599</v>
      </c>
      <c r="K8791" s="5"/>
    </row>
    <row r="8792">
      <c r="A8792" s="3" t="s">
        <v>8080</v>
      </c>
      <c r="B8792" s="3" t="s">
        <v>8028</v>
      </c>
      <c r="C8792" s="3" t="s">
        <v>8346</v>
      </c>
      <c r="D8792" s="4" t="str">
        <f t="shared" si="952"/>
        <v>12Go Link</v>
      </c>
      <c r="E8792" s="3" t="s">
        <v>3197</v>
      </c>
      <c r="K8792" s="5"/>
    </row>
    <row r="8793">
      <c r="A8793" s="3" t="s">
        <v>8238</v>
      </c>
      <c r="B8793" s="3" t="s">
        <v>8010</v>
      </c>
      <c r="C8793" s="3" t="s">
        <v>8347</v>
      </c>
      <c r="D8793" s="4" t="str">
        <f>HYPERLINK("https://12go.asia/en/travel/Pak-Bara-Pier/Koh-Lipe-Walking-Street", "12Go Link")</f>
        <v>12Go Link</v>
      </c>
      <c r="E8793" s="3" t="s">
        <v>6656</v>
      </c>
      <c r="K8793" s="5"/>
    </row>
    <row r="8794">
      <c r="A8794" s="3" t="s">
        <v>8238</v>
      </c>
      <c r="B8794" s="3" t="s">
        <v>8023</v>
      </c>
      <c r="C8794" s="3" t="s">
        <v>8348</v>
      </c>
      <c r="D8794" s="4" t="str">
        <f>HYPERLINK("https://12go.asia/en/travel/Pak-Bara-Pier/Koh-Bulone-School-Beach", "12Go Link")</f>
        <v>12Go Link</v>
      </c>
      <c r="E8794" s="3" t="s">
        <v>6656</v>
      </c>
      <c r="K8794" s="5"/>
    </row>
    <row r="8795">
      <c r="A8795" s="3" t="s">
        <v>358</v>
      </c>
      <c r="B8795" s="3" t="s">
        <v>238</v>
      </c>
      <c r="C8795" s="3" t="s">
        <v>8349</v>
      </c>
      <c r="D8795" s="4" t="str">
        <f t="shared" ref="D8795:D8798" si="953">HYPERLINK("https://12go.asia/en/travel/Pattaya-Hotel-Transfer/Bangkok-Transfer", "12Go Link")</f>
        <v>12Go Link</v>
      </c>
      <c r="E8795" s="3" t="s">
        <v>222</v>
      </c>
      <c r="K8795" s="5"/>
    </row>
    <row r="8796">
      <c r="A8796" s="3" t="s">
        <v>358</v>
      </c>
      <c r="B8796" s="3" t="s">
        <v>238</v>
      </c>
      <c r="C8796" s="3" t="s">
        <v>8349</v>
      </c>
      <c r="D8796" s="4" t="str">
        <f t="shared" si="953"/>
        <v>12Go Link</v>
      </c>
      <c r="E8796" s="3" t="s">
        <v>223</v>
      </c>
      <c r="K8796" s="5"/>
    </row>
    <row r="8797">
      <c r="A8797" s="3" t="s">
        <v>358</v>
      </c>
      <c r="B8797" s="3" t="s">
        <v>238</v>
      </c>
      <c r="C8797" s="3" t="s">
        <v>8349</v>
      </c>
      <c r="D8797" s="4" t="str">
        <f t="shared" si="953"/>
        <v>12Go Link</v>
      </c>
      <c r="E8797" s="3" t="s">
        <v>6599</v>
      </c>
      <c r="K8797" s="5"/>
    </row>
    <row r="8798">
      <c r="A8798" s="3" t="s">
        <v>358</v>
      </c>
      <c r="B8798" s="3" t="s">
        <v>238</v>
      </c>
      <c r="C8798" s="3" t="s">
        <v>8349</v>
      </c>
      <c r="D8798" s="4" t="str">
        <f t="shared" si="953"/>
        <v>12Go Link</v>
      </c>
      <c r="E8798" s="3" t="s">
        <v>3197</v>
      </c>
      <c r="K8798" s="5"/>
    </row>
    <row r="8799">
      <c r="A8799" s="3" t="s">
        <v>358</v>
      </c>
      <c r="B8799" s="3" t="s">
        <v>8069</v>
      </c>
      <c r="C8799" s="3" t="s">
        <v>8350</v>
      </c>
      <c r="D8799" s="4" t="str">
        <f>HYPERLINK("https://12go.asia/en/travel/Pattaya-Boonsiri-Office/Koh-Mak-Ao-Nid", "12Go Link")</f>
        <v>12Go Link</v>
      </c>
      <c r="E8799" s="3" t="s">
        <v>8351</v>
      </c>
      <c r="K8799" s="5"/>
    </row>
    <row r="8800">
      <c r="A8800" s="3" t="s">
        <v>358</v>
      </c>
      <c r="B8800" s="3" t="s">
        <v>8020</v>
      </c>
      <c r="C8800" s="3" t="s">
        <v>8352</v>
      </c>
      <c r="D8800" s="4" t="str">
        <f t="shared" ref="D8800:D8803" si="954">HYPERLINK("https://12go.asia/en/travel/Pattaya-Hotel-Transfer/Phuket-Hotel-Transfer", "12Go Link")</f>
        <v>12Go Link</v>
      </c>
      <c r="E8800" s="3" t="s">
        <v>222</v>
      </c>
      <c r="K8800" s="5"/>
    </row>
    <row r="8801">
      <c r="A8801" s="3" t="s">
        <v>358</v>
      </c>
      <c r="B8801" s="3" t="s">
        <v>8020</v>
      </c>
      <c r="C8801" s="3" t="s">
        <v>8352</v>
      </c>
      <c r="D8801" s="4" t="str">
        <f t="shared" si="954"/>
        <v>12Go Link</v>
      </c>
      <c r="E8801" s="3" t="s">
        <v>223</v>
      </c>
      <c r="K8801" s="5"/>
    </row>
    <row r="8802">
      <c r="A8802" s="3" t="s">
        <v>358</v>
      </c>
      <c r="B8802" s="3" t="s">
        <v>8020</v>
      </c>
      <c r="C8802" s="3" t="s">
        <v>8352</v>
      </c>
      <c r="D8802" s="4" t="str">
        <f t="shared" si="954"/>
        <v>12Go Link</v>
      </c>
      <c r="E8802" s="3" t="s">
        <v>6599</v>
      </c>
      <c r="K8802" s="5"/>
    </row>
    <row r="8803">
      <c r="A8803" s="3" t="s">
        <v>358</v>
      </c>
      <c r="B8803" s="3" t="s">
        <v>8020</v>
      </c>
      <c r="C8803" s="3" t="s">
        <v>8352</v>
      </c>
      <c r="D8803" s="4" t="str">
        <f t="shared" si="954"/>
        <v>12Go Link</v>
      </c>
      <c r="E8803" s="3" t="s">
        <v>3197</v>
      </c>
      <c r="K8803" s="5"/>
    </row>
    <row r="8804">
      <c r="A8804" s="3" t="s">
        <v>358</v>
      </c>
      <c r="B8804" s="3" t="s">
        <v>8028</v>
      </c>
      <c r="C8804" s="3" t="s">
        <v>8353</v>
      </c>
      <c r="D8804" s="4" t="str">
        <f t="shared" ref="D8804:D8807" si="955">HYPERLINK("https://12go.asia/en/travel/Pattaya-Hotel-Transfer/Suvarnabhumi-Airport", "12Go Link")</f>
        <v>12Go Link</v>
      </c>
      <c r="E8804" s="3" t="s">
        <v>222</v>
      </c>
      <c r="K8804" s="5"/>
    </row>
    <row r="8805">
      <c r="A8805" s="3" t="s">
        <v>358</v>
      </c>
      <c r="B8805" s="3" t="s">
        <v>8028</v>
      </c>
      <c r="C8805" s="3" t="s">
        <v>8353</v>
      </c>
      <c r="D8805" s="4" t="str">
        <f t="shared" si="955"/>
        <v>12Go Link</v>
      </c>
      <c r="E8805" s="3" t="s">
        <v>223</v>
      </c>
      <c r="K8805" s="5"/>
    </row>
    <row r="8806">
      <c r="A8806" s="3" t="s">
        <v>358</v>
      </c>
      <c r="B8806" s="3" t="s">
        <v>8028</v>
      </c>
      <c r="C8806" s="3" t="s">
        <v>8353</v>
      </c>
      <c r="D8806" s="4" t="str">
        <f t="shared" si="955"/>
        <v>12Go Link</v>
      </c>
      <c r="E8806" s="3" t="s">
        <v>6599</v>
      </c>
      <c r="K8806" s="5"/>
    </row>
    <row r="8807">
      <c r="A8807" s="3" t="s">
        <v>358</v>
      </c>
      <c r="B8807" s="3" t="s">
        <v>8028</v>
      </c>
      <c r="C8807" s="3" t="s">
        <v>8353</v>
      </c>
      <c r="D8807" s="4" t="str">
        <f t="shared" si="955"/>
        <v>12Go Link</v>
      </c>
      <c r="E8807" s="3" t="s">
        <v>3197</v>
      </c>
      <c r="K8807" s="5"/>
    </row>
    <row r="8808">
      <c r="A8808" s="3" t="s">
        <v>8083</v>
      </c>
      <c r="B8808" s="3" t="s">
        <v>238</v>
      </c>
      <c r="C8808" s="3" t="s">
        <v>8354</v>
      </c>
      <c r="D8808" s="4" t="str">
        <f t="shared" ref="D8808:D8811" si="956">HYPERLINK("https://12go.asia/en/travel/Phang-Nga-Hotel-Transfer/Bangkok-Transfer", "12Go Link")</f>
        <v>12Go Link</v>
      </c>
      <c r="E8808" s="3" t="s">
        <v>222</v>
      </c>
      <c r="K8808" s="5"/>
    </row>
    <row r="8809">
      <c r="A8809" s="3" t="s">
        <v>8083</v>
      </c>
      <c r="B8809" s="3" t="s">
        <v>238</v>
      </c>
      <c r="C8809" s="3" t="s">
        <v>8354</v>
      </c>
      <c r="D8809" s="4" t="str">
        <f t="shared" si="956"/>
        <v>12Go Link</v>
      </c>
      <c r="E8809" s="3" t="s">
        <v>223</v>
      </c>
      <c r="K8809" s="5"/>
    </row>
    <row r="8810">
      <c r="A8810" s="3" t="s">
        <v>8083</v>
      </c>
      <c r="B8810" s="3" t="s">
        <v>238</v>
      </c>
      <c r="C8810" s="3" t="s">
        <v>8354</v>
      </c>
      <c r="D8810" s="4" t="str">
        <f t="shared" si="956"/>
        <v>12Go Link</v>
      </c>
      <c r="E8810" s="3" t="s">
        <v>6599</v>
      </c>
      <c r="K8810" s="5"/>
    </row>
    <row r="8811">
      <c r="A8811" s="3" t="s">
        <v>8083</v>
      </c>
      <c r="B8811" s="3" t="s">
        <v>238</v>
      </c>
      <c r="C8811" s="3" t="s">
        <v>8354</v>
      </c>
      <c r="D8811" s="4" t="str">
        <f t="shared" si="956"/>
        <v>12Go Link</v>
      </c>
      <c r="E8811" s="3" t="s">
        <v>3197</v>
      </c>
      <c r="K8811" s="5"/>
    </row>
    <row r="8812">
      <c r="A8812" s="3" t="s">
        <v>8083</v>
      </c>
      <c r="B8812" s="3" t="s">
        <v>8028</v>
      </c>
      <c r="C8812" s="3" t="s">
        <v>8355</v>
      </c>
      <c r="D8812" s="4" t="str">
        <f t="shared" ref="D8812:D8815" si="957">HYPERLINK("https://12go.asia/en/travel/Phang-Nga-Hotel-Transfer/Suvarnabhumi-Airport", "12Go Link")</f>
        <v>12Go Link</v>
      </c>
      <c r="E8812" s="3" t="s">
        <v>222</v>
      </c>
      <c r="K8812" s="5"/>
    </row>
    <row r="8813">
      <c r="A8813" s="3" t="s">
        <v>8083</v>
      </c>
      <c r="B8813" s="3" t="s">
        <v>8028</v>
      </c>
      <c r="C8813" s="3" t="s">
        <v>8355</v>
      </c>
      <c r="D8813" s="4" t="str">
        <f t="shared" si="957"/>
        <v>12Go Link</v>
      </c>
      <c r="E8813" s="3" t="s">
        <v>223</v>
      </c>
      <c r="K8813" s="5"/>
    </row>
    <row r="8814">
      <c r="A8814" s="3" t="s">
        <v>8083</v>
      </c>
      <c r="B8814" s="3" t="s">
        <v>8028</v>
      </c>
      <c r="C8814" s="3" t="s">
        <v>8355</v>
      </c>
      <c r="D8814" s="4" t="str">
        <f t="shared" si="957"/>
        <v>12Go Link</v>
      </c>
      <c r="E8814" s="3" t="s">
        <v>6599</v>
      </c>
      <c r="K8814" s="5"/>
    </row>
    <row r="8815">
      <c r="A8815" s="3" t="s">
        <v>8083</v>
      </c>
      <c r="B8815" s="3" t="s">
        <v>8028</v>
      </c>
      <c r="C8815" s="3" t="s">
        <v>8355</v>
      </c>
      <c r="D8815" s="4" t="str">
        <f t="shared" si="957"/>
        <v>12Go Link</v>
      </c>
      <c r="E8815" s="3" t="s">
        <v>3197</v>
      </c>
      <c r="K8815" s="5"/>
    </row>
    <row r="8816">
      <c r="A8816" s="3" t="s">
        <v>8085</v>
      </c>
      <c r="B8816" s="3" t="s">
        <v>238</v>
      </c>
      <c r="C8816" s="3" t="s">
        <v>8356</v>
      </c>
      <c r="D8816" s="4" t="str">
        <f t="shared" ref="D8816:D8819" si="958">HYPERLINK("https://12go.asia/en/travel/Cha-Am/Bangkok-Transfer", "12Go Link")</f>
        <v>12Go Link</v>
      </c>
      <c r="E8816" s="3" t="s">
        <v>222</v>
      </c>
      <c r="K8816" s="5"/>
    </row>
    <row r="8817">
      <c r="A8817" s="3" t="s">
        <v>8085</v>
      </c>
      <c r="B8817" s="3" t="s">
        <v>238</v>
      </c>
      <c r="C8817" s="3" t="s">
        <v>8356</v>
      </c>
      <c r="D8817" s="4" t="str">
        <f t="shared" si="958"/>
        <v>12Go Link</v>
      </c>
      <c r="E8817" s="3" t="s">
        <v>223</v>
      </c>
      <c r="K8817" s="5"/>
    </row>
    <row r="8818">
      <c r="A8818" s="3" t="s">
        <v>8085</v>
      </c>
      <c r="B8818" s="3" t="s">
        <v>238</v>
      </c>
      <c r="C8818" s="3" t="s">
        <v>8356</v>
      </c>
      <c r="D8818" s="4" t="str">
        <f t="shared" si="958"/>
        <v>12Go Link</v>
      </c>
      <c r="E8818" s="3" t="s">
        <v>6599</v>
      </c>
      <c r="K8818" s="5"/>
    </row>
    <row r="8819">
      <c r="A8819" s="3" t="s">
        <v>8085</v>
      </c>
      <c r="B8819" s="3" t="s">
        <v>238</v>
      </c>
      <c r="C8819" s="3" t="s">
        <v>8356</v>
      </c>
      <c r="D8819" s="4" t="str">
        <f t="shared" si="958"/>
        <v>12Go Link</v>
      </c>
      <c r="E8819" s="3" t="s">
        <v>3197</v>
      </c>
      <c r="K8819" s="5"/>
    </row>
    <row r="8820">
      <c r="A8820" s="3" t="s">
        <v>8085</v>
      </c>
      <c r="B8820" s="3" t="s">
        <v>8028</v>
      </c>
      <c r="C8820" s="3" t="s">
        <v>8357</v>
      </c>
      <c r="D8820" s="4" t="str">
        <f t="shared" ref="D8820:D8823" si="959">HYPERLINK("https://12go.asia/en/travel/Cha-Am/Suvarnabhumi-Airport", "12Go Link")</f>
        <v>12Go Link</v>
      </c>
      <c r="E8820" s="3" t="s">
        <v>222</v>
      </c>
      <c r="K8820" s="5"/>
    </row>
    <row r="8821">
      <c r="A8821" s="3" t="s">
        <v>8085</v>
      </c>
      <c r="B8821" s="3" t="s">
        <v>8028</v>
      </c>
      <c r="C8821" s="3" t="s">
        <v>8357</v>
      </c>
      <c r="D8821" s="4" t="str">
        <f t="shared" si="959"/>
        <v>12Go Link</v>
      </c>
      <c r="E8821" s="3" t="s">
        <v>223</v>
      </c>
      <c r="K8821" s="5"/>
    </row>
    <row r="8822">
      <c r="A8822" s="3" t="s">
        <v>8085</v>
      </c>
      <c r="B8822" s="3" t="s">
        <v>8028</v>
      </c>
      <c r="C8822" s="3" t="s">
        <v>8357</v>
      </c>
      <c r="D8822" s="4" t="str">
        <f t="shared" si="959"/>
        <v>12Go Link</v>
      </c>
      <c r="E8822" s="3" t="s">
        <v>6599</v>
      </c>
      <c r="K8822" s="5"/>
    </row>
    <row r="8823">
      <c r="A8823" s="3" t="s">
        <v>8085</v>
      </c>
      <c r="B8823" s="3" t="s">
        <v>8028</v>
      </c>
      <c r="C8823" s="3" t="s">
        <v>8357</v>
      </c>
      <c r="D8823" s="4" t="str">
        <f t="shared" si="959"/>
        <v>12Go Link</v>
      </c>
      <c r="E8823" s="3" t="s">
        <v>3197</v>
      </c>
      <c r="K8823" s="5"/>
    </row>
    <row r="8824">
      <c r="A8824" s="3" t="s">
        <v>8020</v>
      </c>
      <c r="B8824" s="3" t="s">
        <v>8008</v>
      </c>
      <c r="C8824" s="3" t="s">
        <v>8358</v>
      </c>
      <c r="D8824" s="4" t="str">
        <f t="shared" ref="D8824:D8827" si="960">HYPERLINK("https://12go.asia/en/travel/Phuket-Airport/Ao-Nang-Transfer-except-Krabi-Town-and-Railay", "12Go Link")</f>
        <v>12Go Link</v>
      </c>
      <c r="E8824" s="3" t="s">
        <v>222</v>
      </c>
      <c r="K8824" s="5"/>
    </row>
    <row r="8825">
      <c r="A8825" s="3" t="s">
        <v>8020</v>
      </c>
      <c r="B8825" s="3" t="s">
        <v>8008</v>
      </c>
      <c r="C8825" s="3" t="s">
        <v>8358</v>
      </c>
      <c r="D8825" s="4" t="str">
        <f t="shared" si="960"/>
        <v>12Go Link</v>
      </c>
      <c r="E8825" s="3" t="s">
        <v>223</v>
      </c>
      <c r="K8825" s="5"/>
    </row>
    <row r="8826">
      <c r="A8826" s="3" t="s">
        <v>8020</v>
      </c>
      <c r="B8826" s="3" t="s">
        <v>8008</v>
      </c>
      <c r="C8826" s="3" t="s">
        <v>8358</v>
      </c>
      <c r="D8826" s="4" t="str">
        <f t="shared" si="960"/>
        <v>12Go Link</v>
      </c>
      <c r="E8826" s="3" t="s">
        <v>6599</v>
      </c>
      <c r="K8826" s="5"/>
    </row>
    <row r="8827">
      <c r="A8827" s="3" t="s">
        <v>8020</v>
      </c>
      <c r="B8827" s="3" t="s">
        <v>8008</v>
      </c>
      <c r="C8827" s="3" t="s">
        <v>8358</v>
      </c>
      <c r="D8827" s="4" t="str">
        <f t="shared" si="960"/>
        <v>12Go Link</v>
      </c>
      <c r="E8827" s="3" t="s">
        <v>3197</v>
      </c>
      <c r="K8827" s="5"/>
    </row>
    <row r="8828">
      <c r="A8828" s="3" t="s">
        <v>8020</v>
      </c>
      <c r="B8828" s="3" t="s">
        <v>8008</v>
      </c>
      <c r="C8828" s="3" t="s">
        <v>8359</v>
      </c>
      <c r="D8828" s="4" t="str">
        <f t="shared" ref="D8828:D8831" si="961">HYPERLINK("https://12go.asia/en/travel/Phuket-Hotel-Transfer/Ao-Nang-Transfer-except-Krabi-Town-and-Railay", "12Go Link")</f>
        <v>12Go Link</v>
      </c>
      <c r="E8828" s="3" t="s">
        <v>222</v>
      </c>
      <c r="K8828" s="5"/>
    </row>
    <row r="8829">
      <c r="A8829" s="3" t="s">
        <v>8020</v>
      </c>
      <c r="B8829" s="3" t="s">
        <v>8008</v>
      </c>
      <c r="C8829" s="3" t="s">
        <v>8359</v>
      </c>
      <c r="D8829" s="4" t="str">
        <f t="shared" si="961"/>
        <v>12Go Link</v>
      </c>
      <c r="E8829" s="3" t="s">
        <v>223</v>
      </c>
      <c r="K8829" s="5"/>
    </row>
    <row r="8830">
      <c r="A8830" s="3" t="s">
        <v>8020</v>
      </c>
      <c r="B8830" s="3" t="s">
        <v>8008</v>
      </c>
      <c r="C8830" s="3" t="s">
        <v>8359</v>
      </c>
      <c r="D8830" s="4" t="str">
        <f t="shared" si="961"/>
        <v>12Go Link</v>
      </c>
      <c r="E8830" s="3" t="s">
        <v>6599</v>
      </c>
      <c r="K8830" s="5"/>
    </row>
    <row r="8831">
      <c r="A8831" s="3" t="s">
        <v>8020</v>
      </c>
      <c r="B8831" s="3" t="s">
        <v>8008</v>
      </c>
      <c r="C8831" s="3" t="s">
        <v>8359</v>
      </c>
      <c r="D8831" s="4" t="str">
        <f t="shared" si="961"/>
        <v>12Go Link</v>
      </c>
      <c r="E8831" s="3" t="s">
        <v>3197</v>
      </c>
      <c r="K8831" s="5"/>
    </row>
    <row r="8832">
      <c r="A8832" s="3" t="s">
        <v>8020</v>
      </c>
      <c r="B8832" s="3" t="s">
        <v>238</v>
      </c>
      <c r="C8832" s="3" t="s">
        <v>8360</v>
      </c>
      <c r="D8832" s="4" t="str">
        <f t="shared" ref="D8832:D8835" si="962">HYPERLINK("https://12go.asia/en/travel/Phuket-Hotel-Transfer/Bangkok-Transfer", "12Go Link")</f>
        <v>12Go Link</v>
      </c>
      <c r="E8832" s="3" t="s">
        <v>222</v>
      </c>
      <c r="K8832" s="5"/>
    </row>
    <row r="8833">
      <c r="A8833" s="3" t="s">
        <v>8020</v>
      </c>
      <c r="B8833" s="3" t="s">
        <v>238</v>
      </c>
      <c r="C8833" s="3" t="s">
        <v>8360</v>
      </c>
      <c r="D8833" s="4" t="str">
        <f t="shared" si="962"/>
        <v>12Go Link</v>
      </c>
      <c r="E8833" s="3" t="s">
        <v>223</v>
      </c>
      <c r="K8833" s="5"/>
    </row>
    <row r="8834">
      <c r="A8834" s="3" t="s">
        <v>8020</v>
      </c>
      <c r="B8834" s="3" t="s">
        <v>238</v>
      </c>
      <c r="C8834" s="3" t="s">
        <v>8360</v>
      </c>
      <c r="D8834" s="4" t="str">
        <f t="shared" si="962"/>
        <v>12Go Link</v>
      </c>
      <c r="E8834" s="3" t="s">
        <v>6599</v>
      </c>
      <c r="K8834" s="5"/>
    </row>
    <row r="8835">
      <c r="A8835" s="3" t="s">
        <v>8020</v>
      </c>
      <c r="B8835" s="3" t="s">
        <v>238</v>
      </c>
      <c r="C8835" s="3" t="s">
        <v>8360</v>
      </c>
      <c r="D8835" s="4" t="str">
        <f t="shared" si="962"/>
        <v>12Go Link</v>
      </c>
      <c r="E8835" s="3" t="s">
        <v>3197</v>
      </c>
      <c r="K8835" s="5"/>
    </row>
    <row r="8836">
      <c r="A8836" s="3" t="s">
        <v>8020</v>
      </c>
      <c r="B8836" s="3" t="s">
        <v>8053</v>
      </c>
      <c r="C8836" s="3" t="s">
        <v>8361</v>
      </c>
      <c r="D8836" s="4" t="str">
        <f t="shared" ref="D8836:D8839" si="963">HYPERLINK("https://12go.asia/en/travel/Phuket-Airport/Chumphon-Hotel-Transfer", "12Go Link")</f>
        <v>12Go Link</v>
      </c>
      <c r="E8836" s="3" t="s">
        <v>222</v>
      </c>
      <c r="K8836" s="5"/>
    </row>
    <row r="8837">
      <c r="A8837" s="3" t="s">
        <v>8020</v>
      </c>
      <c r="B8837" s="3" t="s">
        <v>8053</v>
      </c>
      <c r="C8837" s="3" t="s">
        <v>8361</v>
      </c>
      <c r="D8837" s="4" t="str">
        <f t="shared" si="963"/>
        <v>12Go Link</v>
      </c>
      <c r="E8837" s="3" t="s">
        <v>223</v>
      </c>
      <c r="K8837" s="5"/>
    </row>
    <row r="8838">
      <c r="A8838" s="3" t="s">
        <v>8020</v>
      </c>
      <c r="B8838" s="3" t="s">
        <v>8053</v>
      </c>
      <c r="C8838" s="3" t="s">
        <v>8361</v>
      </c>
      <c r="D8838" s="4" t="str">
        <f t="shared" si="963"/>
        <v>12Go Link</v>
      </c>
      <c r="E8838" s="3" t="s">
        <v>6599</v>
      </c>
      <c r="K8838" s="5"/>
    </row>
    <row r="8839">
      <c r="A8839" s="3" t="s">
        <v>8020</v>
      </c>
      <c r="B8839" s="3" t="s">
        <v>8053</v>
      </c>
      <c r="C8839" s="3" t="s">
        <v>8361</v>
      </c>
      <c r="D8839" s="4" t="str">
        <f t="shared" si="963"/>
        <v>12Go Link</v>
      </c>
      <c r="E8839" s="3" t="s">
        <v>3197</v>
      </c>
      <c r="K8839" s="5"/>
    </row>
    <row r="8840">
      <c r="A8840" s="3" t="s">
        <v>8020</v>
      </c>
      <c r="B8840" s="3" t="s">
        <v>8053</v>
      </c>
      <c r="C8840" s="3" t="s">
        <v>8362</v>
      </c>
      <c r="D8840" s="4" t="str">
        <f>HYPERLINK("https://12go.asia/en/travel/Phuket-Bus-Terminal-2/Rungkit-Tour-Office-Chumphon", "12Go Link")</f>
        <v>12Go Link</v>
      </c>
      <c r="E8840" s="3" t="s">
        <v>8186</v>
      </c>
      <c r="K8840" s="5"/>
    </row>
    <row r="8841">
      <c r="A8841" s="3" t="s">
        <v>8020</v>
      </c>
      <c r="B8841" s="3" t="s">
        <v>8193</v>
      </c>
      <c r="C8841" s="3" t="s">
        <v>8363</v>
      </c>
      <c r="D8841" s="4" t="str">
        <f t="shared" ref="D8841:D8844" si="964">HYPERLINK("https://12go.asia/en/travel/Phuket-Airport/Donsak-Piers", "12Go Link")</f>
        <v>12Go Link</v>
      </c>
      <c r="E8841" s="3" t="s">
        <v>222</v>
      </c>
      <c r="K8841" s="5"/>
    </row>
    <row r="8842">
      <c r="A8842" s="3" t="s">
        <v>8020</v>
      </c>
      <c r="B8842" s="3" t="s">
        <v>8193</v>
      </c>
      <c r="C8842" s="3" t="s">
        <v>8363</v>
      </c>
      <c r="D8842" s="4" t="str">
        <f t="shared" si="964"/>
        <v>12Go Link</v>
      </c>
      <c r="E8842" s="3" t="s">
        <v>223</v>
      </c>
      <c r="K8842" s="5"/>
    </row>
    <row r="8843">
      <c r="A8843" s="3" t="s">
        <v>8020</v>
      </c>
      <c r="B8843" s="3" t="s">
        <v>8193</v>
      </c>
      <c r="C8843" s="3" t="s">
        <v>8363</v>
      </c>
      <c r="D8843" s="4" t="str">
        <f t="shared" si="964"/>
        <v>12Go Link</v>
      </c>
      <c r="E8843" s="3" t="s">
        <v>6599</v>
      </c>
      <c r="K8843" s="5"/>
    </row>
    <row r="8844">
      <c r="A8844" s="3" t="s">
        <v>8020</v>
      </c>
      <c r="B8844" s="3" t="s">
        <v>8193</v>
      </c>
      <c r="C8844" s="3" t="s">
        <v>8363</v>
      </c>
      <c r="D8844" s="4" t="str">
        <f t="shared" si="964"/>
        <v>12Go Link</v>
      </c>
      <c r="E8844" s="3" t="s">
        <v>3197</v>
      </c>
      <c r="K8844" s="5"/>
    </row>
    <row r="8845">
      <c r="A8845" s="3" t="s">
        <v>8020</v>
      </c>
      <c r="B8845" s="3" t="s">
        <v>8193</v>
      </c>
      <c r="C8845" s="3" t="s">
        <v>8364</v>
      </c>
      <c r="D8845" s="4" t="str">
        <f t="shared" ref="D8845:D8848" si="965">HYPERLINK("https://12go.asia/en/travel/Phuket-Hotel-Transfer/Donsak-Piers", "12Go Link")</f>
        <v>12Go Link</v>
      </c>
      <c r="E8845" s="3" t="s">
        <v>222</v>
      </c>
      <c r="K8845" s="5"/>
    </row>
    <row r="8846">
      <c r="A8846" s="3" t="s">
        <v>8020</v>
      </c>
      <c r="B8846" s="3" t="s">
        <v>8193</v>
      </c>
      <c r="C8846" s="3" t="s">
        <v>8364</v>
      </c>
      <c r="D8846" s="4" t="str">
        <f t="shared" si="965"/>
        <v>12Go Link</v>
      </c>
      <c r="E8846" s="3" t="s">
        <v>223</v>
      </c>
      <c r="K8846" s="5"/>
    </row>
    <row r="8847">
      <c r="A8847" s="3" t="s">
        <v>8020</v>
      </c>
      <c r="B8847" s="3" t="s">
        <v>8193</v>
      </c>
      <c r="C8847" s="3" t="s">
        <v>8364</v>
      </c>
      <c r="D8847" s="4" t="str">
        <f t="shared" si="965"/>
        <v>12Go Link</v>
      </c>
      <c r="E8847" s="3" t="s">
        <v>6599</v>
      </c>
      <c r="K8847" s="5"/>
    </row>
    <row r="8848">
      <c r="A8848" s="3" t="s">
        <v>8020</v>
      </c>
      <c r="B8848" s="3" t="s">
        <v>8193</v>
      </c>
      <c r="C8848" s="3" t="s">
        <v>8364</v>
      </c>
      <c r="D8848" s="4" t="str">
        <f t="shared" si="965"/>
        <v>12Go Link</v>
      </c>
      <c r="E8848" s="3" t="s">
        <v>3197</v>
      </c>
      <c r="K8848" s="5"/>
    </row>
    <row r="8849">
      <c r="A8849" s="3" t="s">
        <v>8020</v>
      </c>
      <c r="B8849" s="3" t="s">
        <v>7475</v>
      </c>
      <c r="C8849" s="3" t="s">
        <v>8365</v>
      </c>
      <c r="D8849" s="4" t="str">
        <f t="shared" ref="D8849:D8852" si="966">HYPERLINK("https://12go.asia/en/travel/Phuket-Hotel-Transfer/Hat-Yai-Hotel-Transfer", "12Go Link")</f>
        <v>12Go Link</v>
      </c>
      <c r="E8849" s="3" t="s">
        <v>222</v>
      </c>
      <c r="K8849" s="5"/>
    </row>
    <row r="8850">
      <c r="A8850" s="3" t="s">
        <v>8020</v>
      </c>
      <c r="B8850" s="3" t="s">
        <v>7475</v>
      </c>
      <c r="C8850" s="3" t="s">
        <v>8365</v>
      </c>
      <c r="D8850" s="4" t="str">
        <f t="shared" si="966"/>
        <v>12Go Link</v>
      </c>
      <c r="E8850" s="3" t="s">
        <v>223</v>
      </c>
      <c r="K8850" s="5"/>
    </row>
    <row r="8851">
      <c r="A8851" s="3" t="s">
        <v>8020</v>
      </c>
      <c r="B8851" s="3" t="s">
        <v>7475</v>
      </c>
      <c r="C8851" s="3" t="s">
        <v>8365</v>
      </c>
      <c r="D8851" s="4" t="str">
        <f t="shared" si="966"/>
        <v>12Go Link</v>
      </c>
      <c r="E8851" s="3" t="s">
        <v>6599</v>
      </c>
      <c r="K8851" s="5"/>
    </row>
    <row r="8852">
      <c r="A8852" s="3" t="s">
        <v>8020</v>
      </c>
      <c r="B8852" s="3" t="s">
        <v>7475</v>
      </c>
      <c r="C8852" s="3" t="s">
        <v>8365</v>
      </c>
      <c r="D8852" s="4" t="str">
        <f t="shared" si="966"/>
        <v>12Go Link</v>
      </c>
      <c r="E8852" s="3" t="s">
        <v>3197</v>
      </c>
      <c r="K8852" s="5"/>
    </row>
    <row r="8853">
      <c r="A8853" s="3" t="s">
        <v>8020</v>
      </c>
      <c r="B8853" s="3" t="s">
        <v>8056</v>
      </c>
      <c r="C8853" s="3" t="s">
        <v>8366</v>
      </c>
      <c r="D8853" s="4" t="str">
        <f t="shared" ref="D8853:D8856" si="967">HYPERLINK("https://12go.asia/en/travel/Phuket-Hotel-Transfer/Hua-Hin-Hotel-Transfer", "12Go Link")</f>
        <v>12Go Link</v>
      </c>
      <c r="E8853" s="3" t="s">
        <v>222</v>
      </c>
      <c r="K8853" s="5"/>
    </row>
    <row r="8854">
      <c r="A8854" s="3" t="s">
        <v>8020</v>
      </c>
      <c r="B8854" s="3" t="s">
        <v>8056</v>
      </c>
      <c r="C8854" s="3" t="s">
        <v>8366</v>
      </c>
      <c r="D8854" s="4" t="str">
        <f t="shared" si="967"/>
        <v>12Go Link</v>
      </c>
      <c r="E8854" s="3" t="s">
        <v>223</v>
      </c>
      <c r="K8854" s="5"/>
    </row>
    <row r="8855">
      <c r="A8855" s="3" t="s">
        <v>8020</v>
      </c>
      <c r="B8855" s="3" t="s">
        <v>8056</v>
      </c>
      <c r="C8855" s="3" t="s">
        <v>8366</v>
      </c>
      <c r="D8855" s="4" t="str">
        <f t="shared" si="967"/>
        <v>12Go Link</v>
      </c>
      <c r="E8855" s="3" t="s">
        <v>6599</v>
      </c>
      <c r="K8855" s="5"/>
    </row>
    <row r="8856">
      <c r="A8856" s="3" t="s">
        <v>8020</v>
      </c>
      <c r="B8856" s="3" t="s">
        <v>8056</v>
      </c>
      <c r="C8856" s="3" t="s">
        <v>8366</v>
      </c>
      <c r="D8856" s="4" t="str">
        <f t="shared" si="967"/>
        <v>12Go Link</v>
      </c>
      <c r="E8856" s="3" t="s">
        <v>3197</v>
      </c>
      <c r="K8856" s="5"/>
    </row>
    <row r="8857">
      <c r="A8857" s="3" t="s">
        <v>8020</v>
      </c>
      <c r="B8857" s="3" t="s">
        <v>7492</v>
      </c>
      <c r="C8857" s="3" t="s">
        <v>8367</v>
      </c>
      <c r="D8857" s="4" t="str">
        <f t="shared" ref="D8857:D8860" si="968">HYPERLINK("https://12go.asia/en/travel/Phuket-Airport/Karon-Beach", "12Go Link")</f>
        <v>12Go Link</v>
      </c>
      <c r="E8857" s="3" t="s">
        <v>222</v>
      </c>
      <c r="K8857" s="5"/>
    </row>
    <row r="8858">
      <c r="A8858" s="3" t="s">
        <v>8020</v>
      </c>
      <c r="B8858" s="3" t="s">
        <v>7492</v>
      </c>
      <c r="C8858" s="3" t="s">
        <v>8367</v>
      </c>
      <c r="D8858" s="4" t="str">
        <f t="shared" si="968"/>
        <v>12Go Link</v>
      </c>
      <c r="E8858" s="3" t="s">
        <v>223</v>
      </c>
      <c r="K8858" s="5"/>
    </row>
    <row r="8859">
      <c r="A8859" s="3" t="s">
        <v>8020</v>
      </c>
      <c r="B8859" s="3" t="s">
        <v>7492</v>
      </c>
      <c r="C8859" s="3" t="s">
        <v>8367</v>
      </c>
      <c r="D8859" s="4" t="str">
        <f t="shared" si="968"/>
        <v>12Go Link</v>
      </c>
      <c r="E8859" s="3" t="s">
        <v>6599</v>
      </c>
      <c r="K8859" s="5"/>
    </row>
    <row r="8860">
      <c r="A8860" s="3" t="s">
        <v>8020</v>
      </c>
      <c r="B8860" s="3" t="s">
        <v>7492</v>
      </c>
      <c r="C8860" s="3" t="s">
        <v>8367</v>
      </c>
      <c r="D8860" s="4" t="str">
        <f t="shared" si="968"/>
        <v>12Go Link</v>
      </c>
      <c r="E8860" s="3" t="s">
        <v>3197</v>
      </c>
      <c r="K8860" s="5"/>
    </row>
    <row r="8861">
      <c r="A8861" s="3" t="s">
        <v>8020</v>
      </c>
      <c r="B8861" s="3" t="s">
        <v>8199</v>
      </c>
      <c r="C8861" s="3" t="s">
        <v>8368</v>
      </c>
      <c r="D8861" s="4" t="str">
        <f t="shared" ref="D8861:D8864" si="969">HYPERLINK("https://12go.asia/en/travel/Phuket-Airport/Khao-Lak-Transfer", "12Go Link")</f>
        <v>12Go Link</v>
      </c>
      <c r="E8861" s="3" t="s">
        <v>222</v>
      </c>
      <c r="K8861" s="5"/>
    </row>
    <row r="8862">
      <c r="A8862" s="3" t="s">
        <v>8020</v>
      </c>
      <c r="B8862" s="3" t="s">
        <v>8199</v>
      </c>
      <c r="C8862" s="3" t="s">
        <v>8368</v>
      </c>
      <c r="D8862" s="4" t="str">
        <f t="shared" si="969"/>
        <v>12Go Link</v>
      </c>
      <c r="E8862" s="3" t="s">
        <v>223</v>
      </c>
      <c r="K8862" s="5"/>
    </row>
    <row r="8863">
      <c r="A8863" s="3" t="s">
        <v>8020</v>
      </c>
      <c r="B8863" s="3" t="s">
        <v>8199</v>
      </c>
      <c r="C8863" s="3" t="s">
        <v>8368</v>
      </c>
      <c r="D8863" s="4" t="str">
        <f t="shared" si="969"/>
        <v>12Go Link</v>
      </c>
      <c r="E8863" s="3" t="s">
        <v>6599</v>
      </c>
      <c r="K8863" s="5"/>
    </row>
    <row r="8864">
      <c r="A8864" s="3" t="s">
        <v>8020</v>
      </c>
      <c r="B8864" s="3" t="s">
        <v>8199</v>
      </c>
      <c r="C8864" s="3" t="s">
        <v>8368</v>
      </c>
      <c r="D8864" s="4" t="str">
        <f t="shared" si="969"/>
        <v>12Go Link</v>
      </c>
      <c r="E8864" s="3" t="s">
        <v>3197</v>
      </c>
      <c r="K8864" s="5"/>
    </row>
    <row r="8865">
      <c r="A8865" s="3" t="s">
        <v>8020</v>
      </c>
      <c r="B8865" s="3" t="s">
        <v>8199</v>
      </c>
      <c r="C8865" s="3" t="s">
        <v>8369</v>
      </c>
      <c r="D8865" s="4" t="str">
        <f t="shared" ref="D8865:D8868" si="970">HYPERLINK("https://12go.asia/en/travel/Phuket-Airport/Thap-Lamu-Pier", "12Go Link")</f>
        <v>12Go Link</v>
      </c>
      <c r="E8865" s="3" t="s">
        <v>222</v>
      </c>
      <c r="K8865" s="5"/>
    </row>
    <row r="8866">
      <c r="A8866" s="3" t="s">
        <v>8020</v>
      </c>
      <c r="B8866" s="3" t="s">
        <v>8199</v>
      </c>
      <c r="C8866" s="3" t="s">
        <v>8369</v>
      </c>
      <c r="D8866" s="4" t="str">
        <f t="shared" si="970"/>
        <v>12Go Link</v>
      </c>
      <c r="E8866" s="3" t="s">
        <v>223</v>
      </c>
      <c r="K8866" s="5"/>
    </row>
    <row r="8867">
      <c r="A8867" s="3" t="s">
        <v>8020</v>
      </c>
      <c r="B8867" s="3" t="s">
        <v>8199</v>
      </c>
      <c r="C8867" s="3" t="s">
        <v>8369</v>
      </c>
      <c r="D8867" s="4" t="str">
        <f t="shared" si="970"/>
        <v>12Go Link</v>
      </c>
      <c r="E8867" s="3" t="s">
        <v>6599</v>
      </c>
      <c r="K8867" s="5"/>
    </row>
    <row r="8868">
      <c r="A8868" s="3" t="s">
        <v>8020</v>
      </c>
      <c r="B8868" s="3" t="s">
        <v>8199</v>
      </c>
      <c r="C8868" s="3" t="s">
        <v>8369</v>
      </c>
      <c r="D8868" s="4" t="str">
        <f t="shared" si="970"/>
        <v>12Go Link</v>
      </c>
      <c r="E8868" s="3" t="s">
        <v>3197</v>
      </c>
      <c r="K8868" s="5"/>
    </row>
    <row r="8869">
      <c r="A8869" s="3" t="s">
        <v>8020</v>
      </c>
      <c r="B8869" s="3" t="s">
        <v>8201</v>
      </c>
      <c r="C8869" s="3" t="s">
        <v>8370</v>
      </c>
      <c r="D8869" s="4" t="str">
        <f t="shared" ref="D8869:D8872" si="971">HYPERLINK("https://12go.asia/en/travel/Phuket-Airport/Khao-Sok-Hotel-Transfer", "12Go Link")</f>
        <v>12Go Link</v>
      </c>
      <c r="E8869" s="3" t="s">
        <v>222</v>
      </c>
      <c r="K8869" s="5"/>
    </row>
    <row r="8870">
      <c r="A8870" s="3" t="s">
        <v>8020</v>
      </c>
      <c r="B8870" s="3" t="s">
        <v>8201</v>
      </c>
      <c r="C8870" s="3" t="s">
        <v>8370</v>
      </c>
      <c r="D8870" s="4" t="str">
        <f t="shared" si="971"/>
        <v>12Go Link</v>
      </c>
      <c r="E8870" s="3" t="s">
        <v>223</v>
      </c>
      <c r="K8870" s="5"/>
    </row>
    <row r="8871">
      <c r="A8871" s="3" t="s">
        <v>8020</v>
      </c>
      <c r="B8871" s="3" t="s">
        <v>8201</v>
      </c>
      <c r="C8871" s="3" t="s">
        <v>8370</v>
      </c>
      <c r="D8871" s="4" t="str">
        <f t="shared" si="971"/>
        <v>12Go Link</v>
      </c>
      <c r="E8871" s="3" t="s">
        <v>6599</v>
      </c>
      <c r="K8871" s="5"/>
    </row>
    <row r="8872">
      <c r="A8872" s="3" t="s">
        <v>8020</v>
      </c>
      <c r="B8872" s="3" t="s">
        <v>8201</v>
      </c>
      <c r="C8872" s="3" t="s">
        <v>8370</v>
      </c>
      <c r="D8872" s="4" t="str">
        <f t="shared" si="971"/>
        <v>12Go Link</v>
      </c>
      <c r="E8872" s="3" t="s">
        <v>3197</v>
      </c>
      <c r="K8872" s="5"/>
    </row>
    <row r="8873">
      <c r="A8873" s="3" t="s">
        <v>8020</v>
      </c>
      <c r="B8873" s="3" t="s">
        <v>8201</v>
      </c>
      <c r="C8873" s="3" t="s">
        <v>8371</v>
      </c>
      <c r="D8873" s="4" t="str">
        <f t="shared" ref="D8873:D8876" si="972">HYPERLINK("https://12go.asia/en/travel/Phuket-Hotel-Transfer/Khao-Sok-Hotel-Transfer", "12Go Link")</f>
        <v>12Go Link</v>
      </c>
      <c r="E8873" s="3" t="s">
        <v>222</v>
      </c>
      <c r="K8873" s="5"/>
    </row>
    <row r="8874">
      <c r="A8874" s="3" t="s">
        <v>8020</v>
      </c>
      <c r="B8874" s="3" t="s">
        <v>8201</v>
      </c>
      <c r="C8874" s="3" t="s">
        <v>8371</v>
      </c>
      <c r="D8874" s="4" t="str">
        <f t="shared" si="972"/>
        <v>12Go Link</v>
      </c>
      <c r="E8874" s="3" t="s">
        <v>223</v>
      </c>
      <c r="K8874" s="5"/>
    </row>
    <row r="8875">
      <c r="A8875" s="3" t="s">
        <v>8020</v>
      </c>
      <c r="B8875" s="3" t="s">
        <v>8201</v>
      </c>
      <c r="C8875" s="3" t="s">
        <v>8371</v>
      </c>
      <c r="D8875" s="4" t="str">
        <f t="shared" si="972"/>
        <v>12Go Link</v>
      </c>
      <c r="E8875" s="3" t="s">
        <v>6599</v>
      </c>
      <c r="K8875" s="5"/>
    </row>
    <row r="8876">
      <c r="A8876" s="3" t="s">
        <v>8020</v>
      </c>
      <c r="B8876" s="3" t="s">
        <v>8201</v>
      </c>
      <c r="C8876" s="3" t="s">
        <v>8371</v>
      </c>
      <c r="D8876" s="4" t="str">
        <f t="shared" si="972"/>
        <v>12Go Link</v>
      </c>
      <c r="E8876" s="3" t="s">
        <v>3197</v>
      </c>
      <c r="K8876" s="5"/>
    </row>
    <row r="8877">
      <c r="A8877" s="3" t="s">
        <v>8020</v>
      </c>
      <c r="B8877" s="3" t="s">
        <v>8060</v>
      </c>
      <c r="C8877" s="3" t="s">
        <v>8372</v>
      </c>
      <c r="D8877" s="4" t="str">
        <f t="shared" ref="D8877:D8880" si="973">HYPERLINK("https://12go.asia/en/travel/Phuket-Hotel-Transfer/Khao-Yai-National-Park", "12Go Link")</f>
        <v>12Go Link</v>
      </c>
      <c r="E8877" s="3" t="s">
        <v>222</v>
      </c>
      <c r="K8877" s="5"/>
    </row>
    <row r="8878">
      <c r="A8878" s="3" t="s">
        <v>8020</v>
      </c>
      <c r="B8878" s="3" t="s">
        <v>8060</v>
      </c>
      <c r="C8878" s="3" t="s">
        <v>8372</v>
      </c>
      <c r="D8878" s="4" t="str">
        <f t="shared" si="973"/>
        <v>12Go Link</v>
      </c>
      <c r="E8878" s="3" t="s">
        <v>223</v>
      </c>
      <c r="K8878" s="5"/>
    </row>
    <row r="8879">
      <c r="A8879" s="3" t="s">
        <v>8020</v>
      </c>
      <c r="B8879" s="3" t="s">
        <v>8060</v>
      </c>
      <c r="C8879" s="3" t="s">
        <v>8372</v>
      </c>
      <c r="D8879" s="4" t="str">
        <f t="shared" si="973"/>
        <v>12Go Link</v>
      </c>
      <c r="E8879" s="3" t="s">
        <v>6599</v>
      </c>
      <c r="K8879" s="5"/>
    </row>
    <row r="8880">
      <c r="A8880" s="3" t="s">
        <v>8020</v>
      </c>
      <c r="B8880" s="3" t="s">
        <v>8060</v>
      </c>
      <c r="C8880" s="3" t="s">
        <v>8372</v>
      </c>
      <c r="D8880" s="4" t="str">
        <f t="shared" si="973"/>
        <v>12Go Link</v>
      </c>
      <c r="E8880" s="3" t="s">
        <v>3197</v>
      </c>
      <c r="K8880" s="5"/>
    </row>
    <row r="8881">
      <c r="A8881" s="3" t="s">
        <v>8020</v>
      </c>
      <c r="B8881" s="3" t="s">
        <v>8203</v>
      </c>
      <c r="C8881" s="3" t="s">
        <v>8373</v>
      </c>
      <c r="D8881" s="4" t="str">
        <f t="shared" ref="D8881:D8884" si="974">HYPERLINK("https://12go.asia/en/travel/Phuket-Airport/Koh-Lanta-Hotel-Transfer", "12Go Link")</f>
        <v>12Go Link</v>
      </c>
      <c r="E8881" s="3" t="s">
        <v>222</v>
      </c>
      <c r="K8881" s="5"/>
    </row>
    <row r="8882">
      <c r="A8882" s="3" t="s">
        <v>8020</v>
      </c>
      <c r="B8882" s="3" t="s">
        <v>8203</v>
      </c>
      <c r="C8882" s="3" t="s">
        <v>8373</v>
      </c>
      <c r="D8882" s="4" t="str">
        <f t="shared" si="974"/>
        <v>12Go Link</v>
      </c>
      <c r="E8882" s="3" t="s">
        <v>223</v>
      </c>
      <c r="K8882" s="5"/>
    </row>
    <row r="8883">
      <c r="A8883" s="3" t="s">
        <v>8020</v>
      </c>
      <c r="B8883" s="3" t="s">
        <v>8203</v>
      </c>
      <c r="C8883" s="3" t="s">
        <v>8373</v>
      </c>
      <c r="D8883" s="4" t="str">
        <f t="shared" si="974"/>
        <v>12Go Link</v>
      </c>
      <c r="E8883" s="3" t="s">
        <v>6599</v>
      </c>
      <c r="K8883" s="5"/>
    </row>
    <row r="8884">
      <c r="A8884" s="3" t="s">
        <v>8020</v>
      </c>
      <c r="B8884" s="3" t="s">
        <v>8203</v>
      </c>
      <c r="C8884" s="3" t="s">
        <v>8373</v>
      </c>
      <c r="D8884" s="4" t="str">
        <f t="shared" si="974"/>
        <v>12Go Link</v>
      </c>
      <c r="E8884" s="3" t="s">
        <v>3197</v>
      </c>
      <c r="K8884" s="5"/>
    </row>
    <row r="8885">
      <c r="A8885" s="3" t="s">
        <v>8020</v>
      </c>
      <c r="B8885" s="3" t="s">
        <v>8290</v>
      </c>
      <c r="C8885" s="3" t="s">
        <v>8374</v>
      </c>
      <c r="D8885" s="4" t="str">
        <f>HYPERLINK("https://12go.asia/en/travel/Phuket-Airport/Ton-Sai-Pier-Koh-Phi-Phi", "12Go Link")</f>
        <v>12Go Link</v>
      </c>
      <c r="E8885" s="3" t="s">
        <v>8015</v>
      </c>
      <c r="K8885" s="5"/>
    </row>
    <row r="8886">
      <c r="A8886" s="3" t="s">
        <v>8020</v>
      </c>
      <c r="B8886" s="3" t="s">
        <v>8016</v>
      </c>
      <c r="C8886" s="3" t="s">
        <v>8375</v>
      </c>
      <c r="D8886" s="4" t="str">
        <f t="shared" ref="D8886:D8889" si="975">HYPERLINK("https://12go.asia/en/travel/Phuket-Airport/Koh-Samui-Transfer", "12Go Link")</f>
        <v>12Go Link</v>
      </c>
      <c r="E8886" s="3" t="s">
        <v>222</v>
      </c>
      <c r="K8886" s="5"/>
    </row>
    <row r="8887">
      <c r="A8887" s="3" t="s">
        <v>8020</v>
      </c>
      <c r="B8887" s="3" t="s">
        <v>8016</v>
      </c>
      <c r="C8887" s="3" t="s">
        <v>8375</v>
      </c>
      <c r="D8887" s="4" t="str">
        <f t="shared" si="975"/>
        <v>12Go Link</v>
      </c>
      <c r="E8887" s="3" t="s">
        <v>223</v>
      </c>
      <c r="K8887" s="5"/>
    </row>
    <row r="8888">
      <c r="A8888" s="3" t="s">
        <v>8020</v>
      </c>
      <c r="B8888" s="3" t="s">
        <v>8016</v>
      </c>
      <c r="C8888" s="3" t="s">
        <v>8375</v>
      </c>
      <c r="D8888" s="4" t="str">
        <f t="shared" si="975"/>
        <v>12Go Link</v>
      </c>
      <c r="E8888" s="3" t="s">
        <v>6599</v>
      </c>
      <c r="K8888" s="5"/>
    </row>
    <row r="8889">
      <c r="A8889" s="3" t="s">
        <v>8020</v>
      </c>
      <c r="B8889" s="3" t="s">
        <v>8016</v>
      </c>
      <c r="C8889" s="3" t="s">
        <v>8375</v>
      </c>
      <c r="D8889" s="4" t="str">
        <f t="shared" si="975"/>
        <v>12Go Link</v>
      </c>
      <c r="E8889" s="3" t="s">
        <v>3197</v>
      </c>
      <c r="K8889" s="5"/>
    </row>
    <row r="8890">
      <c r="A8890" s="3" t="s">
        <v>8020</v>
      </c>
      <c r="B8890" s="3" t="s">
        <v>8018</v>
      </c>
      <c r="C8890" s="3" t="s">
        <v>8376</v>
      </c>
      <c r="D8890" s="4" t="str">
        <f t="shared" ref="D8890:D8893" si="976">HYPERLINK("https://12go.asia/en/travel/Phuket-Airport/Krabi-Town-Transfer", "12Go Link")</f>
        <v>12Go Link</v>
      </c>
      <c r="E8890" s="3" t="s">
        <v>222</v>
      </c>
      <c r="K8890" s="5"/>
    </row>
    <row r="8891">
      <c r="A8891" s="3" t="s">
        <v>8020</v>
      </c>
      <c r="B8891" s="3" t="s">
        <v>8018</v>
      </c>
      <c r="C8891" s="3" t="s">
        <v>8376</v>
      </c>
      <c r="D8891" s="4" t="str">
        <f t="shared" si="976"/>
        <v>12Go Link</v>
      </c>
      <c r="E8891" s="3" t="s">
        <v>223</v>
      </c>
      <c r="K8891" s="5"/>
    </row>
    <row r="8892">
      <c r="A8892" s="3" t="s">
        <v>8020</v>
      </c>
      <c r="B8892" s="3" t="s">
        <v>8018</v>
      </c>
      <c r="C8892" s="3" t="s">
        <v>8376</v>
      </c>
      <c r="D8892" s="4" t="str">
        <f t="shared" si="976"/>
        <v>12Go Link</v>
      </c>
      <c r="E8892" s="3" t="s">
        <v>6599</v>
      </c>
      <c r="K8892" s="5"/>
    </row>
    <row r="8893">
      <c r="A8893" s="3" t="s">
        <v>8020</v>
      </c>
      <c r="B8893" s="3" t="s">
        <v>8018</v>
      </c>
      <c r="C8893" s="3" t="s">
        <v>8376</v>
      </c>
      <c r="D8893" s="4" t="str">
        <f t="shared" si="976"/>
        <v>12Go Link</v>
      </c>
      <c r="E8893" s="3" t="s">
        <v>3197</v>
      </c>
      <c r="K8893" s="5"/>
    </row>
    <row r="8894">
      <c r="A8894" s="3" t="s">
        <v>8020</v>
      </c>
      <c r="B8894" s="3" t="s">
        <v>358</v>
      </c>
      <c r="C8894" s="3" t="s">
        <v>8377</v>
      </c>
      <c r="D8894" s="4" t="str">
        <f t="shared" ref="D8894:D8897" si="977">HYPERLINK("https://12go.asia/en/travel/Phuket-Hotel-Transfer/Pattaya-Hotel-Transfer", "12Go Link")</f>
        <v>12Go Link</v>
      </c>
      <c r="E8894" s="3" t="s">
        <v>222</v>
      </c>
      <c r="K8894" s="5"/>
    </row>
    <row r="8895">
      <c r="A8895" s="3" t="s">
        <v>8020</v>
      </c>
      <c r="B8895" s="3" t="s">
        <v>358</v>
      </c>
      <c r="C8895" s="3" t="s">
        <v>8377</v>
      </c>
      <c r="D8895" s="4" t="str">
        <f t="shared" si="977"/>
        <v>12Go Link</v>
      </c>
      <c r="E8895" s="3" t="s">
        <v>223</v>
      </c>
      <c r="K8895" s="5"/>
    </row>
    <row r="8896">
      <c r="A8896" s="3" t="s">
        <v>8020</v>
      </c>
      <c r="B8896" s="3" t="s">
        <v>358</v>
      </c>
      <c r="C8896" s="3" t="s">
        <v>8377</v>
      </c>
      <c r="D8896" s="4" t="str">
        <f t="shared" si="977"/>
        <v>12Go Link</v>
      </c>
      <c r="E8896" s="3" t="s">
        <v>6599</v>
      </c>
      <c r="K8896" s="5"/>
    </row>
    <row r="8897">
      <c r="A8897" s="3" t="s">
        <v>8020</v>
      </c>
      <c r="B8897" s="3" t="s">
        <v>358</v>
      </c>
      <c r="C8897" s="3" t="s">
        <v>8377</v>
      </c>
      <c r="D8897" s="4" t="str">
        <f t="shared" si="977"/>
        <v>12Go Link</v>
      </c>
      <c r="E8897" s="3" t="s">
        <v>3197</v>
      </c>
      <c r="K8897" s="5"/>
    </row>
    <row r="8898">
      <c r="A8898" s="3" t="s">
        <v>8020</v>
      </c>
      <c r="B8898" s="3" t="s">
        <v>8020</v>
      </c>
      <c r="C8898" s="3" t="s">
        <v>8378</v>
      </c>
      <c r="D8898" s="4" t="str">
        <f t="shared" ref="D8898:D8901" si="978">HYPERLINK("https://12go.asia/en/travel/Bang-Rong-Pier-Phuket/Phuket-Airport", "12Go Link")</f>
        <v>12Go Link</v>
      </c>
      <c r="E8898" s="3" t="s">
        <v>222</v>
      </c>
      <c r="K8898" s="5"/>
    </row>
    <row r="8899">
      <c r="A8899" s="3" t="s">
        <v>8020</v>
      </c>
      <c r="B8899" s="3" t="s">
        <v>8020</v>
      </c>
      <c r="C8899" s="3" t="s">
        <v>8378</v>
      </c>
      <c r="D8899" s="4" t="str">
        <f t="shared" si="978"/>
        <v>12Go Link</v>
      </c>
      <c r="E8899" s="3" t="s">
        <v>223</v>
      </c>
      <c r="K8899" s="5"/>
    </row>
    <row r="8900">
      <c r="A8900" s="3" t="s">
        <v>8020</v>
      </c>
      <c r="B8900" s="3" t="s">
        <v>8020</v>
      </c>
      <c r="C8900" s="3" t="s">
        <v>8378</v>
      </c>
      <c r="D8900" s="4" t="str">
        <f t="shared" si="978"/>
        <v>12Go Link</v>
      </c>
      <c r="E8900" s="3" t="s">
        <v>6599</v>
      </c>
      <c r="K8900" s="5"/>
    </row>
    <row r="8901">
      <c r="A8901" s="3" t="s">
        <v>8020</v>
      </c>
      <c r="B8901" s="3" t="s">
        <v>8020</v>
      </c>
      <c r="C8901" s="3" t="s">
        <v>8378</v>
      </c>
      <c r="D8901" s="4" t="str">
        <f t="shared" si="978"/>
        <v>12Go Link</v>
      </c>
      <c r="E8901" s="3" t="s">
        <v>3197</v>
      </c>
      <c r="K8901" s="5"/>
    </row>
    <row r="8902">
      <c r="A8902" s="3" t="s">
        <v>8020</v>
      </c>
      <c r="B8902" s="3" t="s">
        <v>8020</v>
      </c>
      <c r="C8902" s="3" t="s">
        <v>8379</v>
      </c>
      <c r="D8902" s="4" t="str">
        <f t="shared" ref="D8902:D8905" si="979">HYPERLINK("https://12go.asia/en/travel/Kata-Beach/Phuket-Airport", "12Go Link")</f>
        <v>12Go Link</v>
      </c>
      <c r="E8902" s="3" t="s">
        <v>222</v>
      </c>
      <c r="K8902" s="5"/>
    </row>
    <row r="8903">
      <c r="A8903" s="3" t="s">
        <v>8020</v>
      </c>
      <c r="B8903" s="3" t="s">
        <v>8020</v>
      </c>
      <c r="C8903" s="3" t="s">
        <v>8379</v>
      </c>
      <c r="D8903" s="4" t="str">
        <f t="shared" si="979"/>
        <v>12Go Link</v>
      </c>
      <c r="E8903" s="3" t="s">
        <v>223</v>
      </c>
      <c r="K8903" s="5"/>
    </row>
    <row r="8904">
      <c r="A8904" s="3" t="s">
        <v>8020</v>
      </c>
      <c r="B8904" s="3" t="s">
        <v>8020</v>
      </c>
      <c r="C8904" s="3" t="s">
        <v>8379</v>
      </c>
      <c r="D8904" s="4" t="str">
        <f t="shared" si="979"/>
        <v>12Go Link</v>
      </c>
      <c r="E8904" s="3" t="s">
        <v>6599</v>
      </c>
      <c r="K8904" s="5"/>
    </row>
    <row r="8905">
      <c r="A8905" s="3" t="s">
        <v>8020</v>
      </c>
      <c r="B8905" s="3" t="s">
        <v>8020</v>
      </c>
      <c r="C8905" s="3" t="s">
        <v>8379</v>
      </c>
      <c r="D8905" s="4" t="str">
        <f t="shared" si="979"/>
        <v>12Go Link</v>
      </c>
      <c r="E8905" s="3" t="s">
        <v>3197</v>
      </c>
      <c r="K8905" s="5"/>
    </row>
    <row r="8906">
      <c r="A8906" s="3" t="s">
        <v>8020</v>
      </c>
      <c r="B8906" s="3" t="s">
        <v>8020</v>
      </c>
      <c r="C8906" s="3" t="s">
        <v>8380</v>
      </c>
      <c r="D8906" s="4" t="str">
        <f t="shared" ref="D8906:D8909" si="980">HYPERLINK("https://12go.asia/en/travel/Koh-Sire/Phuket-Airport", "12Go Link")</f>
        <v>12Go Link</v>
      </c>
      <c r="E8906" s="3" t="s">
        <v>222</v>
      </c>
      <c r="K8906" s="5"/>
    </row>
    <row r="8907">
      <c r="A8907" s="3" t="s">
        <v>8020</v>
      </c>
      <c r="B8907" s="3" t="s">
        <v>8020</v>
      </c>
      <c r="C8907" s="3" t="s">
        <v>8380</v>
      </c>
      <c r="D8907" s="4" t="str">
        <f t="shared" si="980"/>
        <v>12Go Link</v>
      </c>
      <c r="E8907" s="3" t="s">
        <v>223</v>
      </c>
      <c r="K8907" s="5"/>
    </row>
    <row r="8908">
      <c r="A8908" s="3" t="s">
        <v>8020</v>
      </c>
      <c r="B8908" s="3" t="s">
        <v>8020</v>
      </c>
      <c r="C8908" s="3" t="s">
        <v>8380</v>
      </c>
      <c r="D8908" s="4" t="str">
        <f t="shared" si="980"/>
        <v>12Go Link</v>
      </c>
      <c r="E8908" s="3" t="s">
        <v>6599</v>
      </c>
      <c r="K8908" s="5"/>
    </row>
    <row r="8909">
      <c r="A8909" s="3" t="s">
        <v>8020</v>
      </c>
      <c r="B8909" s="3" t="s">
        <v>8020</v>
      </c>
      <c r="C8909" s="3" t="s">
        <v>8380</v>
      </c>
      <c r="D8909" s="4" t="str">
        <f t="shared" si="980"/>
        <v>12Go Link</v>
      </c>
      <c r="E8909" s="3" t="s">
        <v>3197</v>
      </c>
      <c r="K8909" s="5"/>
    </row>
    <row r="8910">
      <c r="A8910" s="3" t="s">
        <v>8020</v>
      </c>
      <c r="B8910" s="3" t="s">
        <v>8020</v>
      </c>
      <c r="C8910" s="3" t="s">
        <v>8381</v>
      </c>
      <c r="D8910" s="4" t="str">
        <f t="shared" ref="D8910:D8913" si="981">HYPERLINK("https://12go.asia/en/travel/Laguna-Phuket/Phuket-Airport", "12Go Link")</f>
        <v>12Go Link</v>
      </c>
      <c r="E8910" s="3" t="s">
        <v>222</v>
      </c>
      <c r="K8910" s="5"/>
    </row>
    <row r="8911">
      <c r="A8911" s="3" t="s">
        <v>8020</v>
      </c>
      <c r="B8911" s="3" t="s">
        <v>8020</v>
      </c>
      <c r="C8911" s="3" t="s">
        <v>8381</v>
      </c>
      <c r="D8911" s="4" t="str">
        <f t="shared" si="981"/>
        <v>12Go Link</v>
      </c>
      <c r="E8911" s="3" t="s">
        <v>223</v>
      </c>
      <c r="K8911" s="5"/>
    </row>
    <row r="8912">
      <c r="A8912" s="3" t="s">
        <v>8020</v>
      </c>
      <c r="B8912" s="3" t="s">
        <v>8020</v>
      </c>
      <c r="C8912" s="3" t="s">
        <v>8381</v>
      </c>
      <c r="D8912" s="4" t="str">
        <f t="shared" si="981"/>
        <v>12Go Link</v>
      </c>
      <c r="E8912" s="3" t="s">
        <v>6599</v>
      </c>
      <c r="K8912" s="5"/>
    </row>
    <row r="8913">
      <c r="A8913" s="3" t="s">
        <v>8020</v>
      </c>
      <c r="B8913" s="3" t="s">
        <v>8020</v>
      </c>
      <c r="C8913" s="3" t="s">
        <v>8381</v>
      </c>
      <c r="D8913" s="4" t="str">
        <f t="shared" si="981"/>
        <v>12Go Link</v>
      </c>
      <c r="E8913" s="3" t="s">
        <v>3197</v>
      </c>
      <c r="K8913" s="5"/>
    </row>
    <row r="8914">
      <c r="A8914" s="3" t="s">
        <v>8020</v>
      </c>
      <c r="B8914" s="3" t="s">
        <v>8020</v>
      </c>
      <c r="C8914" s="3" t="s">
        <v>8382</v>
      </c>
      <c r="D8914" s="4" t="str">
        <f t="shared" ref="D8914:D8917" si="982">HYPERLINK("https://12go.asia/en/travel/Panwa-Transfer/Phuket-Airport", "12Go Link")</f>
        <v>12Go Link</v>
      </c>
      <c r="E8914" s="3" t="s">
        <v>222</v>
      </c>
      <c r="K8914" s="5"/>
    </row>
    <row r="8915">
      <c r="A8915" s="3" t="s">
        <v>8020</v>
      </c>
      <c r="B8915" s="3" t="s">
        <v>8020</v>
      </c>
      <c r="C8915" s="3" t="s">
        <v>8382</v>
      </c>
      <c r="D8915" s="4" t="str">
        <f t="shared" si="982"/>
        <v>12Go Link</v>
      </c>
      <c r="E8915" s="3" t="s">
        <v>223</v>
      </c>
      <c r="K8915" s="5"/>
    </row>
    <row r="8916">
      <c r="A8916" s="3" t="s">
        <v>8020</v>
      </c>
      <c r="B8916" s="3" t="s">
        <v>8020</v>
      </c>
      <c r="C8916" s="3" t="s">
        <v>8382</v>
      </c>
      <c r="D8916" s="4" t="str">
        <f t="shared" si="982"/>
        <v>12Go Link</v>
      </c>
      <c r="E8916" s="3" t="s">
        <v>6599</v>
      </c>
      <c r="K8916" s="5"/>
    </row>
    <row r="8917">
      <c r="A8917" s="3" t="s">
        <v>8020</v>
      </c>
      <c r="B8917" s="3" t="s">
        <v>8020</v>
      </c>
      <c r="C8917" s="3" t="s">
        <v>8382</v>
      </c>
      <c r="D8917" s="4" t="str">
        <f t="shared" si="982"/>
        <v>12Go Link</v>
      </c>
      <c r="E8917" s="3" t="s">
        <v>3197</v>
      </c>
      <c r="K8917" s="5"/>
    </row>
    <row r="8918">
      <c r="A8918" s="3" t="s">
        <v>8020</v>
      </c>
      <c r="B8918" s="3" t="s">
        <v>8020</v>
      </c>
      <c r="C8918" s="3" t="s">
        <v>8383</v>
      </c>
      <c r="D8918" s="4" t="str">
        <f t="shared" ref="D8918:D8921" si="983">HYPERLINK("https://12go.asia/en/travel/Patong-Phuket-Hotel-Transfer/Phuket-Airport", "12Go Link")</f>
        <v>12Go Link</v>
      </c>
      <c r="E8918" s="3" t="s">
        <v>222</v>
      </c>
      <c r="K8918" s="5"/>
    </row>
    <row r="8919">
      <c r="A8919" s="3" t="s">
        <v>8020</v>
      </c>
      <c r="B8919" s="3" t="s">
        <v>8020</v>
      </c>
      <c r="C8919" s="3" t="s">
        <v>8383</v>
      </c>
      <c r="D8919" s="4" t="str">
        <f t="shared" si="983"/>
        <v>12Go Link</v>
      </c>
      <c r="E8919" s="3" t="s">
        <v>223</v>
      </c>
      <c r="K8919" s="5"/>
    </row>
    <row r="8920">
      <c r="A8920" s="3" t="s">
        <v>8020</v>
      </c>
      <c r="B8920" s="3" t="s">
        <v>8020</v>
      </c>
      <c r="C8920" s="3" t="s">
        <v>8383</v>
      </c>
      <c r="D8920" s="4" t="str">
        <f t="shared" si="983"/>
        <v>12Go Link</v>
      </c>
      <c r="E8920" s="3" t="s">
        <v>6599</v>
      </c>
      <c r="K8920" s="5"/>
    </row>
    <row r="8921">
      <c r="A8921" s="3" t="s">
        <v>8020</v>
      </c>
      <c r="B8921" s="3" t="s">
        <v>8020</v>
      </c>
      <c r="C8921" s="3" t="s">
        <v>8383</v>
      </c>
      <c r="D8921" s="4" t="str">
        <f t="shared" si="983"/>
        <v>12Go Link</v>
      </c>
      <c r="E8921" s="3" t="s">
        <v>3197</v>
      </c>
      <c r="K8921" s="5"/>
    </row>
    <row r="8922">
      <c r="A8922" s="3" t="s">
        <v>8020</v>
      </c>
      <c r="B8922" s="3" t="s">
        <v>8020</v>
      </c>
      <c r="C8922" s="3" t="s">
        <v>8384</v>
      </c>
      <c r="D8922" s="4" t="str">
        <f t="shared" ref="D8922:D8925" si="984">HYPERLINK("https://12go.asia/en/travel/Phuket-Airport/Bang-Rong-Pier-Phuket", "12Go Link")</f>
        <v>12Go Link</v>
      </c>
      <c r="E8922" s="3" t="s">
        <v>222</v>
      </c>
      <c r="K8922" s="5"/>
    </row>
    <row r="8923">
      <c r="A8923" s="3" t="s">
        <v>8020</v>
      </c>
      <c r="B8923" s="3" t="s">
        <v>8020</v>
      </c>
      <c r="C8923" s="3" t="s">
        <v>8384</v>
      </c>
      <c r="D8923" s="4" t="str">
        <f t="shared" si="984"/>
        <v>12Go Link</v>
      </c>
      <c r="E8923" s="3" t="s">
        <v>223</v>
      </c>
      <c r="K8923" s="5"/>
    </row>
    <row r="8924">
      <c r="A8924" s="3" t="s">
        <v>8020</v>
      </c>
      <c r="B8924" s="3" t="s">
        <v>8020</v>
      </c>
      <c r="C8924" s="3" t="s">
        <v>8384</v>
      </c>
      <c r="D8924" s="4" t="str">
        <f t="shared" si="984"/>
        <v>12Go Link</v>
      </c>
      <c r="E8924" s="3" t="s">
        <v>6599</v>
      </c>
      <c r="K8924" s="5"/>
    </row>
    <row r="8925">
      <c r="A8925" s="3" t="s">
        <v>8020</v>
      </c>
      <c r="B8925" s="3" t="s">
        <v>8020</v>
      </c>
      <c r="C8925" s="3" t="s">
        <v>8384</v>
      </c>
      <c r="D8925" s="4" t="str">
        <f t="shared" si="984"/>
        <v>12Go Link</v>
      </c>
      <c r="E8925" s="3" t="s">
        <v>3197</v>
      </c>
      <c r="K8925" s="5"/>
    </row>
    <row r="8926">
      <c r="A8926" s="3" t="s">
        <v>8020</v>
      </c>
      <c r="B8926" s="3" t="s">
        <v>8020</v>
      </c>
      <c r="C8926" s="3" t="s">
        <v>8385</v>
      </c>
      <c r="D8926" s="4" t="str">
        <f t="shared" ref="D8926:D8929" si="985">HYPERLINK("https://12go.asia/en/travel/Phuket-Airport/Kata-Beach", "12Go Link")</f>
        <v>12Go Link</v>
      </c>
      <c r="E8926" s="3" t="s">
        <v>222</v>
      </c>
      <c r="K8926" s="5"/>
    </row>
    <row r="8927">
      <c r="A8927" s="3" t="s">
        <v>8020</v>
      </c>
      <c r="B8927" s="3" t="s">
        <v>8020</v>
      </c>
      <c r="C8927" s="3" t="s">
        <v>8385</v>
      </c>
      <c r="D8927" s="4" t="str">
        <f t="shared" si="985"/>
        <v>12Go Link</v>
      </c>
      <c r="E8927" s="3" t="s">
        <v>223</v>
      </c>
      <c r="K8927" s="5"/>
    </row>
    <row r="8928">
      <c r="A8928" s="3" t="s">
        <v>8020</v>
      </c>
      <c r="B8928" s="3" t="s">
        <v>8020</v>
      </c>
      <c r="C8928" s="3" t="s">
        <v>8385</v>
      </c>
      <c r="D8928" s="4" t="str">
        <f t="shared" si="985"/>
        <v>12Go Link</v>
      </c>
      <c r="E8928" s="3" t="s">
        <v>6599</v>
      </c>
      <c r="K8928" s="5"/>
    </row>
    <row r="8929">
      <c r="A8929" s="3" t="s">
        <v>8020</v>
      </c>
      <c r="B8929" s="3" t="s">
        <v>8020</v>
      </c>
      <c r="C8929" s="3" t="s">
        <v>8385</v>
      </c>
      <c r="D8929" s="4" t="str">
        <f t="shared" si="985"/>
        <v>12Go Link</v>
      </c>
      <c r="E8929" s="3" t="s">
        <v>3197</v>
      </c>
      <c r="K8929" s="5"/>
    </row>
    <row r="8930">
      <c r="A8930" s="3" t="s">
        <v>8020</v>
      </c>
      <c r="B8930" s="3" t="s">
        <v>8020</v>
      </c>
      <c r="C8930" s="3" t="s">
        <v>8386</v>
      </c>
      <c r="D8930" s="4" t="str">
        <f t="shared" ref="D8930:D8933" si="986">HYPERLINK("https://12go.asia/en/travel/Phuket-Airport/Koh-Sire", "12Go Link")</f>
        <v>12Go Link</v>
      </c>
      <c r="E8930" s="3" t="s">
        <v>222</v>
      </c>
      <c r="K8930" s="5"/>
    </row>
    <row r="8931">
      <c r="A8931" s="3" t="s">
        <v>8020</v>
      </c>
      <c r="B8931" s="3" t="s">
        <v>8020</v>
      </c>
      <c r="C8931" s="3" t="s">
        <v>8386</v>
      </c>
      <c r="D8931" s="4" t="str">
        <f t="shared" si="986"/>
        <v>12Go Link</v>
      </c>
      <c r="E8931" s="3" t="s">
        <v>223</v>
      </c>
      <c r="K8931" s="5"/>
    </row>
    <row r="8932">
      <c r="A8932" s="3" t="s">
        <v>8020</v>
      </c>
      <c r="B8932" s="3" t="s">
        <v>8020</v>
      </c>
      <c r="C8932" s="3" t="s">
        <v>8386</v>
      </c>
      <c r="D8932" s="4" t="str">
        <f t="shared" si="986"/>
        <v>12Go Link</v>
      </c>
      <c r="E8932" s="3" t="s">
        <v>6599</v>
      </c>
      <c r="K8932" s="5"/>
    </row>
    <row r="8933">
      <c r="A8933" s="3" t="s">
        <v>8020</v>
      </c>
      <c r="B8933" s="3" t="s">
        <v>8020</v>
      </c>
      <c r="C8933" s="3" t="s">
        <v>8386</v>
      </c>
      <c r="D8933" s="4" t="str">
        <f t="shared" si="986"/>
        <v>12Go Link</v>
      </c>
      <c r="E8933" s="3" t="s">
        <v>3197</v>
      </c>
      <c r="K8933" s="5"/>
    </row>
    <row r="8934">
      <c r="A8934" s="3" t="s">
        <v>8020</v>
      </c>
      <c r="B8934" s="3" t="s">
        <v>8020</v>
      </c>
      <c r="C8934" s="3" t="s">
        <v>8387</v>
      </c>
      <c r="D8934" s="4" t="str">
        <f t="shared" ref="D8934:D8937" si="987">HYPERLINK("https://12go.asia/en/travel/Phuket-Airport/Laguna-Phuket", "12Go Link")</f>
        <v>12Go Link</v>
      </c>
      <c r="E8934" s="3" t="s">
        <v>222</v>
      </c>
      <c r="K8934" s="5"/>
    </row>
    <row r="8935">
      <c r="A8935" s="3" t="s">
        <v>8020</v>
      </c>
      <c r="B8935" s="3" t="s">
        <v>8020</v>
      </c>
      <c r="C8935" s="3" t="s">
        <v>8387</v>
      </c>
      <c r="D8935" s="4" t="str">
        <f t="shared" si="987"/>
        <v>12Go Link</v>
      </c>
      <c r="E8935" s="3" t="s">
        <v>223</v>
      </c>
      <c r="K8935" s="5"/>
    </row>
    <row r="8936">
      <c r="A8936" s="3" t="s">
        <v>8020</v>
      </c>
      <c r="B8936" s="3" t="s">
        <v>8020</v>
      </c>
      <c r="C8936" s="3" t="s">
        <v>8387</v>
      </c>
      <c r="D8936" s="4" t="str">
        <f t="shared" si="987"/>
        <v>12Go Link</v>
      </c>
      <c r="E8936" s="3" t="s">
        <v>6599</v>
      </c>
      <c r="K8936" s="5"/>
    </row>
    <row r="8937">
      <c r="A8937" s="3" t="s">
        <v>8020</v>
      </c>
      <c r="B8937" s="3" t="s">
        <v>8020</v>
      </c>
      <c r="C8937" s="3" t="s">
        <v>8387</v>
      </c>
      <c r="D8937" s="4" t="str">
        <f t="shared" si="987"/>
        <v>12Go Link</v>
      </c>
      <c r="E8937" s="3" t="s">
        <v>3197</v>
      </c>
      <c r="K8937" s="5"/>
    </row>
    <row r="8938">
      <c r="A8938" s="3" t="s">
        <v>8020</v>
      </c>
      <c r="B8938" s="3" t="s">
        <v>8020</v>
      </c>
      <c r="C8938" s="3" t="s">
        <v>8388</v>
      </c>
      <c r="D8938" s="4" t="str">
        <f t="shared" ref="D8938:D8941" si="988">HYPERLINK("https://12go.asia/en/travel/Phuket-Airport/Panwa-Transfer", "12Go Link")</f>
        <v>12Go Link</v>
      </c>
      <c r="E8938" s="3" t="s">
        <v>222</v>
      </c>
      <c r="K8938" s="5"/>
    </row>
    <row r="8939">
      <c r="A8939" s="3" t="s">
        <v>8020</v>
      </c>
      <c r="B8939" s="3" t="s">
        <v>8020</v>
      </c>
      <c r="C8939" s="3" t="s">
        <v>8388</v>
      </c>
      <c r="D8939" s="4" t="str">
        <f t="shared" si="988"/>
        <v>12Go Link</v>
      </c>
      <c r="E8939" s="3" t="s">
        <v>223</v>
      </c>
      <c r="K8939" s="5"/>
    </row>
    <row r="8940">
      <c r="A8940" s="3" t="s">
        <v>8020</v>
      </c>
      <c r="B8940" s="3" t="s">
        <v>8020</v>
      </c>
      <c r="C8940" s="3" t="s">
        <v>8388</v>
      </c>
      <c r="D8940" s="4" t="str">
        <f t="shared" si="988"/>
        <v>12Go Link</v>
      </c>
      <c r="E8940" s="3" t="s">
        <v>6599</v>
      </c>
      <c r="K8940" s="5"/>
    </row>
    <row r="8941">
      <c r="A8941" s="3" t="s">
        <v>8020</v>
      </c>
      <c r="B8941" s="3" t="s">
        <v>8020</v>
      </c>
      <c r="C8941" s="3" t="s">
        <v>8388</v>
      </c>
      <c r="D8941" s="4" t="str">
        <f t="shared" si="988"/>
        <v>12Go Link</v>
      </c>
      <c r="E8941" s="3" t="s">
        <v>3197</v>
      </c>
      <c r="K8941" s="5"/>
    </row>
    <row r="8942">
      <c r="A8942" s="3" t="s">
        <v>8020</v>
      </c>
      <c r="B8942" s="3" t="s">
        <v>8020</v>
      </c>
      <c r="C8942" s="3" t="s">
        <v>8389</v>
      </c>
      <c r="D8942" s="4" t="str">
        <f t="shared" ref="D8942:D8945" si="989">HYPERLINK("https://12go.asia/en/travel/Phuket-Airport/Patong-Phuket-Hotel-Transfer", "12Go Link")</f>
        <v>12Go Link</v>
      </c>
      <c r="E8942" s="3" t="s">
        <v>222</v>
      </c>
      <c r="K8942" s="5"/>
    </row>
    <row r="8943">
      <c r="A8943" s="3" t="s">
        <v>8020</v>
      </c>
      <c r="B8943" s="3" t="s">
        <v>8020</v>
      </c>
      <c r="C8943" s="3" t="s">
        <v>8389</v>
      </c>
      <c r="D8943" s="4" t="str">
        <f t="shared" si="989"/>
        <v>12Go Link</v>
      </c>
      <c r="E8943" s="3" t="s">
        <v>223</v>
      </c>
      <c r="K8943" s="5"/>
    </row>
    <row r="8944">
      <c r="A8944" s="3" t="s">
        <v>8020</v>
      </c>
      <c r="B8944" s="3" t="s">
        <v>8020</v>
      </c>
      <c r="C8944" s="3" t="s">
        <v>8389</v>
      </c>
      <c r="D8944" s="4" t="str">
        <f t="shared" si="989"/>
        <v>12Go Link</v>
      </c>
      <c r="E8944" s="3" t="s">
        <v>6599</v>
      </c>
      <c r="K8944" s="5"/>
    </row>
    <row r="8945">
      <c r="A8945" s="3" t="s">
        <v>8020</v>
      </c>
      <c r="B8945" s="3" t="s">
        <v>8020</v>
      </c>
      <c r="C8945" s="3" t="s">
        <v>8389</v>
      </c>
      <c r="D8945" s="4" t="str">
        <f t="shared" si="989"/>
        <v>12Go Link</v>
      </c>
      <c r="E8945" s="3" t="s">
        <v>3197</v>
      </c>
      <c r="K8945" s="5"/>
    </row>
    <row r="8946">
      <c r="A8946" s="3" t="s">
        <v>8020</v>
      </c>
      <c r="B8946" s="3" t="s">
        <v>8020</v>
      </c>
      <c r="C8946" s="3" t="s">
        <v>8390</v>
      </c>
      <c r="D8946" s="4" t="str">
        <f t="shared" ref="D8946:D8949" si="990">HYPERLINK("https://12go.asia/en/travel/Phuket-Airport/Phuket-Town-Hotel-Transfer", "12Go Link")</f>
        <v>12Go Link</v>
      </c>
      <c r="E8946" s="3" t="s">
        <v>222</v>
      </c>
      <c r="K8946" s="5"/>
    </row>
    <row r="8947">
      <c r="A8947" s="3" t="s">
        <v>8020</v>
      </c>
      <c r="B8947" s="3" t="s">
        <v>8020</v>
      </c>
      <c r="C8947" s="3" t="s">
        <v>8390</v>
      </c>
      <c r="D8947" s="4" t="str">
        <f t="shared" si="990"/>
        <v>12Go Link</v>
      </c>
      <c r="E8947" s="3" t="s">
        <v>223</v>
      </c>
      <c r="K8947" s="5"/>
    </row>
    <row r="8948">
      <c r="A8948" s="3" t="s">
        <v>8020</v>
      </c>
      <c r="B8948" s="3" t="s">
        <v>8020</v>
      </c>
      <c r="C8948" s="3" t="s">
        <v>8390</v>
      </c>
      <c r="D8948" s="4" t="str">
        <f t="shared" si="990"/>
        <v>12Go Link</v>
      </c>
      <c r="E8948" s="3" t="s">
        <v>6599</v>
      </c>
      <c r="K8948" s="5"/>
    </row>
    <row r="8949">
      <c r="A8949" s="3" t="s">
        <v>8020</v>
      </c>
      <c r="B8949" s="3" t="s">
        <v>8020</v>
      </c>
      <c r="C8949" s="3" t="s">
        <v>8390</v>
      </c>
      <c r="D8949" s="4" t="str">
        <f t="shared" si="990"/>
        <v>12Go Link</v>
      </c>
      <c r="E8949" s="3" t="s">
        <v>3197</v>
      </c>
      <c r="K8949" s="5"/>
    </row>
    <row r="8950">
      <c r="A8950" s="3" t="s">
        <v>8020</v>
      </c>
      <c r="B8950" s="3" t="s">
        <v>8020</v>
      </c>
      <c r="C8950" s="3" t="s">
        <v>8391</v>
      </c>
      <c r="D8950" s="4" t="str">
        <f t="shared" ref="D8950:D8953" si="991">HYPERLINK("https://12go.asia/en/travel/Phuket-Airport/Rawai-Hotel-Transfer", "12Go Link")</f>
        <v>12Go Link</v>
      </c>
      <c r="E8950" s="3" t="s">
        <v>222</v>
      </c>
      <c r="K8950" s="5"/>
    </row>
    <row r="8951">
      <c r="A8951" s="3" t="s">
        <v>8020</v>
      </c>
      <c r="B8951" s="3" t="s">
        <v>8020</v>
      </c>
      <c r="C8951" s="3" t="s">
        <v>8391</v>
      </c>
      <c r="D8951" s="4" t="str">
        <f t="shared" si="991"/>
        <v>12Go Link</v>
      </c>
      <c r="E8951" s="3" t="s">
        <v>223</v>
      </c>
      <c r="K8951" s="5"/>
    </row>
    <row r="8952">
      <c r="A8952" s="3" t="s">
        <v>8020</v>
      </c>
      <c r="B8952" s="3" t="s">
        <v>8020</v>
      </c>
      <c r="C8952" s="3" t="s">
        <v>8391</v>
      </c>
      <c r="D8952" s="4" t="str">
        <f t="shared" si="991"/>
        <v>12Go Link</v>
      </c>
      <c r="E8952" s="3" t="s">
        <v>6599</v>
      </c>
      <c r="K8952" s="5"/>
    </row>
    <row r="8953">
      <c r="A8953" s="3" t="s">
        <v>8020</v>
      </c>
      <c r="B8953" s="3" t="s">
        <v>8020</v>
      </c>
      <c r="C8953" s="3" t="s">
        <v>8391</v>
      </c>
      <c r="D8953" s="4" t="str">
        <f t="shared" si="991"/>
        <v>12Go Link</v>
      </c>
      <c r="E8953" s="3" t="s">
        <v>3197</v>
      </c>
      <c r="K8953" s="5"/>
    </row>
    <row r="8954">
      <c r="A8954" s="3" t="s">
        <v>8020</v>
      </c>
      <c r="B8954" s="3" t="s">
        <v>8020</v>
      </c>
      <c r="C8954" s="3" t="s">
        <v>8392</v>
      </c>
      <c r="D8954" s="4" t="str">
        <f t="shared" ref="D8954:D8957" si="992">HYPERLINK("https://12go.asia/en/travel/Phuket-Town-Hotel-Transfer/Phuket-Airport", "12Go Link")</f>
        <v>12Go Link</v>
      </c>
      <c r="E8954" s="3" t="s">
        <v>222</v>
      </c>
      <c r="K8954" s="5"/>
    </row>
    <row r="8955">
      <c r="A8955" s="3" t="s">
        <v>8020</v>
      </c>
      <c r="B8955" s="3" t="s">
        <v>8020</v>
      </c>
      <c r="C8955" s="3" t="s">
        <v>8392</v>
      </c>
      <c r="D8955" s="4" t="str">
        <f t="shared" si="992"/>
        <v>12Go Link</v>
      </c>
      <c r="E8955" s="3" t="s">
        <v>223</v>
      </c>
      <c r="K8955" s="5"/>
    </row>
    <row r="8956">
      <c r="A8956" s="3" t="s">
        <v>8020</v>
      </c>
      <c r="B8956" s="3" t="s">
        <v>8020</v>
      </c>
      <c r="C8956" s="3" t="s">
        <v>8392</v>
      </c>
      <c r="D8956" s="4" t="str">
        <f t="shared" si="992"/>
        <v>12Go Link</v>
      </c>
      <c r="E8956" s="3" t="s">
        <v>6599</v>
      </c>
      <c r="K8956" s="5"/>
    </row>
    <row r="8957">
      <c r="A8957" s="3" t="s">
        <v>8020</v>
      </c>
      <c r="B8957" s="3" t="s">
        <v>8020</v>
      </c>
      <c r="C8957" s="3" t="s">
        <v>8392</v>
      </c>
      <c r="D8957" s="4" t="str">
        <f t="shared" si="992"/>
        <v>12Go Link</v>
      </c>
      <c r="E8957" s="3" t="s">
        <v>3197</v>
      </c>
      <c r="K8957" s="5"/>
    </row>
    <row r="8958">
      <c r="A8958" s="3" t="s">
        <v>8020</v>
      </c>
      <c r="B8958" s="3" t="s">
        <v>8020</v>
      </c>
      <c r="C8958" s="3" t="s">
        <v>8393</v>
      </c>
      <c r="D8958" s="4" t="str">
        <f t="shared" ref="D8958:D8961" si="993">HYPERLINK("https://12go.asia/en/travel/Rawai-Hotel-Transfer/Phuket-Airport", "12Go Link")</f>
        <v>12Go Link</v>
      </c>
      <c r="E8958" s="3" t="s">
        <v>222</v>
      </c>
      <c r="K8958" s="5"/>
    </row>
    <row r="8959">
      <c r="A8959" s="3" t="s">
        <v>8020</v>
      </c>
      <c r="B8959" s="3" t="s">
        <v>8020</v>
      </c>
      <c r="C8959" s="3" t="s">
        <v>8393</v>
      </c>
      <c r="D8959" s="4" t="str">
        <f t="shared" si="993"/>
        <v>12Go Link</v>
      </c>
      <c r="E8959" s="3" t="s">
        <v>223</v>
      </c>
      <c r="K8959" s="5"/>
    </row>
    <row r="8960">
      <c r="A8960" s="3" t="s">
        <v>8020</v>
      </c>
      <c r="B8960" s="3" t="s">
        <v>8020</v>
      </c>
      <c r="C8960" s="3" t="s">
        <v>8393</v>
      </c>
      <c r="D8960" s="4" t="str">
        <f t="shared" si="993"/>
        <v>12Go Link</v>
      </c>
      <c r="E8960" s="3" t="s">
        <v>6599</v>
      </c>
      <c r="K8960" s="5"/>
    </row>
    <row r="8961">
      <c r="A8961" s="3" t="s">
        <v>8020</v>
      </c>
      <c r="B8961" s="3" t="s">
        <v>8020</v>
      </c>
      <c r="C8961" s="3" t="s">
        <v>8393</v>
      </c>
      <c r="D8961" s="4" t="str">
        <f t="shared" si="993"/>
        <v>12Go Link</v>
      </c>
      <c r="E8961" s="3" t="s">
        <v>3197</v>
      </c>
      <c r="K8961" s="5"/>
    </row>
    <row r="8962">
      <c r="A8962" s="3" t="s">
        <v>8020</v>
      </c>
      <c r="B8962" s="3" t="s">
        <v>8088</v>
      </c>
      <c r="C8962" s="3" t="s">
        <v>8394</v>
      </c>
      <c r="D8962" s="4" t="str">
        <f t="shared" ref="D8962:D8965" si="994">HYPERLINK("https://12go.asia/en/travel/Phuket-Airport/Ranong-Hotel-Transfer", "12Go Link")</f>
        <v>12Go Link</v>
      </c>
      <c r="E8962" s="3" t="s">
        <v>222</v>
      </c>
      <c r="K8962" s="5"/>
    </row>
    <row r="8963">
      <c r="A8963" s="3" t="s">
        <v>8020</v>
      </c>
      <c r="B8963" s="3" t="s">
        <v>8088</v>
      </c>
      <c r="C8963" s="3" t="s">
        <v>8394</v>
      </c>
      <c r="D8963" s="4" t="str">
        <f t="shared" si="994"/>
        <v>12Go Link</v>
      </c>
      <c r="E8963" s="3" t="s">
        <v>223</v>
      </c>
      <c r="K8963" s="5"/>
    </row>
    <row r="8964">
      <c r="A8964" s="3" t="s">
        <v>8020</v>
      </c>
      <c r="B8964" s="3" t="s">
        <v>8088</v>
      </c>
      <c r="C8964" s="3" t="s">
        <v>8394</v>
      </c>
      <c r="D8964" s="4" t="str">
        <f t="shared" si="994"/>
        <v>12Go Link</v>
      </c>
      <c r="E8964" s="3" t="s">
        <v>6599</v>
      </c>
      <c r="K8964" s="5"/>
    </row>
    <row r="8965">
      <c r="A8965" s="3" t="s">
        <v>8020</v>
      </c>
      <c r="B8965" s="3" t="s">
        <v>8088</v>
      </c>
      <c r="C8965" s="3" t="s">
        <v>8394</v>
      </c>
      <c r="D8965" s="4" t="str">
        <f t="shared" si="994"/>
        <v>12Go Link</v>
      </c>
      <c r="E8965" s="3" t="s">
        <v>3197</v>
      </c>
      <c r="K8965" s="5"/>
    </row>
    <row r="8966">
      <c r="A8966" s="3" t="s">
        <v>8020</v>
      </c>
      <c r="B8966" s="3" t="s">
        <v>8088</v>
      </c>
      <c r="C8966" s="3" t="s">
        <v>8395</v>
      </c>
      <c r="D8966" s="4" t="str">
        <f>HYPERLINK("https://12go.asia/en/travel/Phuket-Bus-Terminal-2/Rungkit-Tour-Office-Ranong", "12Go Link")</f>
        <v>12Go Link</v>
      </c>
      <c r="E8966" s="3" t="s">
        <v>8186</v>
      </c>
      <c r="K8966" s="5"/>
    </row>
    <row r="8967">
      <c r="A8967" s="3" t="s">
        <v>8020</v>
      </c>
      <c r="B8967" s="3" t="s">
        <v>8396</v>
      </c>
      <c r="C8967" s="3" t="s">
        <v>8397</v>
      </c>
      <c r="D8967" s="4" t="str">
        <f t="shared" ref="D8967:D8970" si="995">HYPERLINK("https://12go.asia/en/travel/Phuket-Airport/Rassada-Pier-Phuket", "12Go Link")</f>
        <v>12Go Link</v>
      </c>
      <c r="E8967" s="3" t="s">
        <v>222</v>
      </c>
      <c r="K8967" s="5"/>
    </row>
    <row r="8968">
      <c r="A8968" s="3" t="s">
        <v>8020</v>
      </c>
      <c r="B8968" s="3" t="s">
        <v>8396</v>
      </c>
      <c r="C8968" s="3" t="s">
        <v>8397</v>
      </c>
      <c r="D8968" s="4" t="str">
        <f t="shared" si="995"/>
        <v>12Go Link</v>
      </c>
      <c r="E8968" s="3" t="s">
        <v>223</v>
      </c>
      <c r="K8968" s="5"/>
    </row>
    <row r="8969">
      <c r="A8969" s="3" t="s">
        <v>8020</v>
      </c>
      <c r="B8969" s="3" t="s">
        <v>8396</v>
      </c>
      <c r="C8969" s="3" t="s">
        <v>8397</v>
      </c>
      <c r="D8969" s="4" t="str">
        <f t="shared" si="995"/>
        <v>12Go Link</v>
      </c>
      <c r="E8969" s="3" t="s">
        <v>6599</v>
      </c>
      <c r="K8969" s="5"/>
    </row>
    <row r="8970">
      <c r="A8970" s="3" t="s">
        <v>8020</v>
      </c>
      <c r="B8970" s="3" t="s">
        <v>8396</v>
      </c>
      <c r="C8970" s="3" t="s">
        <v>8397</v>
      </c>
      <c r="D8970" s="4" t="str">
        <f t="shared" si="995"/>
        <v>12Go Link</v>
      </c>
      <c r="E8970" s="3" t="s">
        <v>3197</v>
      </c>
      <c r="K8970" s="5"/>
    </row>
    <row r="8971">
      <c r="A8971" s="3" t="s">
        <v>8020</v>
      </c>
      <c r="B8971" s="3" t="s">
        <v>8023</v>
      </c>
      <c r="C8971" s="3" t="s">
        <v>8398</v>
      </c>
      <c r="D8971" s="4" t="str">
        <f t="shared" ref="D8971:D8974" si="996">HYPERLINK("https://12go.asia/en/travel/Phuket-Airport/Pak-Bara-Pier", "12Go Link")</f>
        <v>12Go Link</v>
      </c>
      <c r="E8971" s="3" t="s">
        <v>222</v>
      </c>
      <c r="K8971" s="5"/>
    </row>
    <row r="8972">
      <c r="A8972" s="3" t="s">
        <v>8020</v>
      </c>
      <c r="B8972" s="3" t="s">
        <v>8023</v>
      </c>
      <c r="C8972" s="3" t="s">
        <v>8398</v>
      </c>
      <c r="D8972" s="4" t="str">
        <f t="shared" si="996"/>
        <v>12Go Link</v>
      </c>
      <c r="E8972" s="3" t="s">
        <v>223</v>
      </c>
      <c r="K8972" s="5"/>
    </row>
    <row r="8973">
      <c r="A8973" s="3" t="s">
        <v>8020</v>
      </c>
      <c r="B8973" s="3" t="s">
        <v>8023</v>
      </c>
      <c r="C8973" s="3" t="s">
        <v>8398</v>
      </c>
      <c r="D8973" s="4" t="str">
        <f t="shared" si="996"/>
        <v>12Go Link</v>
      </c>
      <c r="E8973" s="3" t="s">
        <v>6599</v>
      </c>
      <c r="K8973" s="5"/>
    </row>
    <row r="8974">
      <c r="A8974" s="3" t="s">
        <v>8020</v>
      </c>
      <c r="B8974" s="3" t="s">
        <v>8023</v>
      </c>
      <c r="C8974" s="3" t="s">
        <v>8398</v>
      </c>
      <c r="D8974" s="4" t="str">
        <f t="shared" si="996"/>
        <v>12Go Link</v>
      </c>
      <c r="E8974" s="3" t="s">
        <v>3197</v>
      </c>
      <c r="K8974" s="5"/>
    </row>
    <row r="8975">
      <c r="A8975" s="3" t="s">
        <v>8020</v>
      </c>
      <c r="B8975" s="3" t="s">
        <v>8098</v>
      </c>
      <c r="C8975" s="3" t="s">
        <v>8399</v>
      </c>
      <c r="D8975" s="4" t="str">
        <f t="shared" ref="D8975:D8978" si="997">HYPERLINK("https://12go.asia/en/travel/Phuket-Airport/Surat-Thani-Town-Transfer", "12Go Link")</f>
        <v>12Go Link</v>
      </c>
      <c r="E8975" s="3" t="s">
        <v>222</v>
      </c>
      <c r="K8975" s="5"/>
    </row>
    <row r="8976">
      <c r="A8976" s="3" t="s">
        <v>8020</v>
      </c>
      <c r="B8976" s="3" t="s">
        <v>8098</v>
      </c>
      <c r="C8976" s="3" t="s">
        <v>8399</v>
      </c>
      <c r="D8976" s="4" t="str">
        <f t="shared" si="997"/>
        <v>12Go Link</v>
      </c>
      <c r="E8976" s="3" t="s">
        <v>223</v>
      </c>
      <c r="K8976" s="5"/>
    </row>
    <row r="8977">
      <c r="A8977" s="3" t="s">
        <v>8020</v>
      </c>
      <c r="B8977" s="3" t="s">
        <v>8098</v>
      </c>
      <c r="C8977" s="3" t="s">
        <v>8399</v>
      </c>
      <c r="D8977" s="4" t="str">
        <f t="shared" si="997"/>
        <v>12Go Link</v>
      </c>
      <c r="E8977" s="3" t="s">
        <v>6599</v>
      </c>
      <c r="K8977" s="5"/>
    </row>
    <row r="8978">
      <c r="A8978" s="3" t="s">
        <v>8020</v>
      </c>
      <c r="B8978" s="3" t="s">
        <v>8098</v>
      </c>
      <c r="C8978" s="3" t="s">
        <v>8399</v>
      </c>
      <c r="D8978" s="4" t="str">
        <f t="shared" si="997"/>
        <v>12Go Link</v>
      </c>
      <c r="E8978" s="3" t="s">
        <v>3197</v>
      </c>
      <c r="K8978" s="5"/>
    </row>
    <row r="8979">
      <c r="A8979" s="3" t="s">
        <v>8020</v>
      </c>
      <c r="B8979" s="3" t="s">
        <v>8028</v>
      </c>
      <c r="C8979" s="3" t="s">
        <v>8400</v>
      </c>
      <c r="D8979" s="4" t="str">
        <f t="shared" ref="D8979:D8982" si="998">HYPERLINK("https://12go.asia/en/travel/Phuket-Hotel-Transfer/Suvarnabhumi-Airport", "12Go Link")</f>
        <v>12Go Link</v>
      </c>
      <c r="E8979" s="3" t="s">
        <v>222</v>
      </c>
      <c r="K8979" s="5"/>
    </row>
    <row r="8980">
      <c r="A8980" s="3" t="s">
        <v>8020</v>
      </c>
      <c r="B8980" s="3" t="s">
        <v>8028</v>
      </c>
      <c r="C8980" s="3" t="s">
        <v>8400</v>
      </c>
      <c r="D8980" s="4" t="str">
        <f t="shared" si="998"/>
        <v>12Go Link</v>
      </c>
      <c r="E8980" s="3" t="s">
        <v>223</v>
      </c>
      <c r="K8980" s="5"/>
    </row>
    <row r="8981">
      <c r="A8981" s="3" t="s">
        <v>8020</v>
      </c>
      <c r="B8981" s="3" t="s">
        <v>8028</v>
      </c>
      <c r="C8981" s="3" t="s">
        <v>8400</v>
      </c>
      <c r="D8981" s="4" t="str">
        <f t="shared" si="998"/>
        <v>12Go Link</v>
      </c>
      <c r="E8981" s="3" t="s">
        <v>6599</v>
      </c>
      <c r="K8981" s="5"/>
    </row>
    <row r="8982">
      <c r="A8982" s="3" t="s">
        <v>8020</v>
      </c>
      <c r="B8982" s="3" t="s">
        <v>8028</v>
      </c>
      <c r="C8982" s="3" t="s">
        <v>8400</v>
      </c>
      <c r="D8982" s="4" t="str">
        <f t="shared" si="998"/>
        <v>12Go Link</v>
      </c>
      <c r="E8982" s="3" t="s">
        <v>3197</v>
      </c>
      <c r="K8982" s="5"/>
    </row>
    <row r="8983">
      <c r="A8983" s="3" t="s">
        <v>8020</v>
      </c>
      <c r="B8983" s="3" t="s">
        <v>8287</v>
      </c>
      <c r="C8983" s="3" t="s">
        <v>8401</v>
      </c>
      <c r="D8983" s="4" t="str">
        <f t="shared" ref="D8983:D8986" si="999">HYPERLINK("https://12go.asia/en/travel/Phuket-Hotel-Transfer/Trang-Hotel-Transfer", "12Go Link")</f>
        <v>12Go Link</v>
      </c>
      <c r="E8983" s="3" t="s">
        <v>222</v>
      </c>
      <c r="K8983" s="5"/>
    </row>
    <row r="8984">
      <c r="A8984" s="3" t="s">
        <v>8020</v>
      </c>
      <c r="B8984" s="3" t="s">
        <v>8287</v>
      </c>
      <c r="C8984" s="3" t="s">
        <v>8401</v>
      </c>
      <c r="D8984" s="4" t="str">
        <f t="shared" si="999"/>
        <v>12Go Link</v>
      </c>
      <c r="E8984" s="3" t="s">
        <v>223</v>
      </c>
      <c r="K8984" s="5"/>
    </row>
    <row r="8985">
      <c r="A8985" s="3" t="s">
        <v>8020</v>
      </c>
      <c r="B8985" s="3" t="s">
        <v>8287</v>
      </c>
      <c r="C8985" s="3" t="s">
        <v>8401</v>
      </c>
      <c r="D8985" s="4" t="str">
        <f t="shared" si="999"/>
        <v>12Go Link</v>
      </c>
      <c r="E8985" s="3" t="s">
        <v>6599</v>
      </c>
      <c r="K8985" s="5"/>
    </row>
    <row r="8986">
      <c r="A8986" s="3" t="s">
        <v>8020</v>
      </c>
      <c r="B8986" s="3" t="s">
        <v>8287</v>
      </c>
      <c r="C8986" s="3" t="s">
        <v>8401</v>
      </c>
      <c r="D8986" s="4" t="str">
        <f t="shared" si="999"/>
        <v>12Go Link</v>
      </c>
      <c r="E8986" s="3" t="s">
        <v>3197</v>
      </c>
      <c r="K8986" s="5"/>
    </row>
    <row r="8987">
      <c r="A8987" s="3" t="s">
        <v>5930</v>
      </c>
      <c r="B8987" s="3" t="s">
        <v>552</v>
      </c>
      <c r="C8987" s="3" t="s">
        <v>8402</v>
      </c>
      <c r="D8987" s="4" t="str">
        <f>HYPERLINK("https://12go.asia/en/travel/rangsit/shaanxi", "12Go Link")</f>
        <v>12Go Link</v>
      </c>
      <c r="E8987" s="3" t="s">
        <v>3568</v>
      </c>
      <c r="K8987" s="5"/>
    </row>
    <row r="8988">
      <c r="A8988" s="3" t="s">
        <v>5930</v>
      </c>
      <c r="B8988" s="3" t="s">
        <v>801</v>
      </c>
      <c r="C8988" s="3" t="s">
        <v>8403</v>
      </c>
      <c r="D8988" s="4" t="str">
        <f>HYPERLINK("https://12go.asia/en/travel/rangsit/xian", "12Go Link")</f>
        <v>12Go Link</v>
      </c>
      <c r="E8988" s="3" t="s">
        <v>3568</v>
      </c>
      <c r="K8988" s="5"/>
    </row>
    <row r="8989">
      <c r="A8989" s="3" t="s">
        <v>5930</v>
      </c>
      <c r="B8989" s="3" t="s">
        <v>3682</v>
      </c>
      <c r="C8989" s="3" t="s">
        <v>8404</v>
      </c>
      <c r="D8989" s="4" t="str">
        <f>HYPERLINK("https://12go.asia/en/travel/rangsit/kalyan", "12Go Link")</f>
        <v>12Go Link</v>
      </c>
      <c r="E8989" s="3" t="s">
        <v>3568</v>
      </c>
      <c r="K8989" s="5"/>
    </row>
    <row r="8990">
      <c r="A8990" s="3" t="s">
        <v>5930</v>
      </c>
      <c r="B8990" s="3" t="s">
        <v>163</v>
      </c>
      <c r="C8990" s="3" t="s">
        <v>8405</v>
      </c>
      <c r="D8990" s="4" t="str">
        <f>HYPERLINK("https://12go.asia/en/travel/rangsit/maharashtra", "12Go Link")</f>
        <v>12Go Link</v>
      </c>
      <c r="E8990" s="3" t="s">
        <v>3568</v>
      </c>
      <c r="K8990" s="5"/>
    </row>
    <row r="8991">
      <c r="A8991" s="3" t="s">
        <v>5930</v>
      </c>
      <c r="B8991" s="3" t="s">
        <v>3690</v>
      </c>
      <c r="C8991" s="3" t="s">
        <v>8406</v>
      </c>
      <c r="D8991" s="4" t="str">
        <f>HYPERLINK("https://12go.asia/en/travel/rangsit/mumbai", "12Go Link")</f>
        <v>12Go Link</v>
      </c>
      <c r="E8991" s="3" t="s">
        <v>3568</v>
      </c>
      <c r="K8991" s="5"/>
    </row>
    <row r="8992">
      <c r="A8992" s="3" t="s">
        <v>5930</v>
      </c>
      <c r="B8992" s="3" t="s">
        <v>5206</v>
      </c>
      <c r="C8992" s="3" t="s">
        <v>8407</v>
      </c>
      <c r="D8992" s="4" t="str">
        <f>HYPERLINK("https://12go.asia/en/travel/rangsit/nala-sopara", "12Go Link")</f>
        <v>12Go Link</v>
      </c>
      <c r="E8992" s="3" t="s">
        <v>3568</v>
      </c>
      <c r="K8992" s="5"/>
    </row>
    <row r="8993">
      <c r="A8993" s="3" t="s">
        <v>5930</v>
      </c>
      <c r="B8993" s="3" t="s">
        <v>8408</v>
      </c>
      <c r="C8993" s="3" t="s">
        <v>8409</v>
      </c>
      <c r="D8993" s="4" t="str">
        <f>HYPERLINK("https://12go.asia/en/travel/rangsit/nerul", "12Go Link")</f>
        <v>12Go Link</v>
      </c>
      <c r="E8993" s="3" t="s">
        <v>3568</v>
      </c>
      <c r="K8993" s="5"/>
    </row>
    <row r="8994">
      <c r="A8994" s="3" t="s">
        <v>5930</v>
      </c>
      <c r="B8994" s="3" t="s">
        <v>5016</v>
      </c>
      <c r="C8994" s="3" t="s">
        <v>8410</v>
      </c>
      <c r="D8994" s="4" t="str">
        <f>HYPERLINK("https://12go.asia/en/travel/rangsit/panvel", "12Go Link")</f>
        <v>12Go Link</v>
      </c>
      <c r="E8994" s="3" t="s">
        <v>3568</v>
      </c>
      <c r="K8994" s="5"/>
    </row>
    <row r="8995">
      <c r="A8995" s="3" t="s">
        <v>5930</v>
      </c>
      <c r="B8995" s="3" t="s">
        <v>4922</v>
      </c>
      <c r="C8995" s="3" t="s">
        <v>8411</v>
      </c>
      <c r="D8995" s="4" t="str">
        <f>HYPERLINK("https://12go.asia/en/travel/rangsit/thane", "12Go Link")</f>
        <v>12Go Link</v>
      </c>
      <c r="E8995" s="3" t="s">
        <v>3568</v>
      </c>
      <c r="K8995" s="5"/>
    </row>
    <row r="8996">
      <c r="A8996" s="3" t="s">
        <v>5930</v>
      </c>
      <c r="B8996" s="3" t="s">
        <v>8412</v>
      </c>
      <c r="C8996" s="3" t="s">
        <v>8413</v>
      </c>
      <c r="D8996" s="4" t="str">
        <f>HYPERLINK("https://12go.asia/en/travel/rangsit/vashi", "12Go Link")</f>
        <v>12Go Link</v>
      </c>
      <c r="E8996" s="3" t="s">
        <v>3568</v>
      </c>
      <c r="K8996" s="5"/>
    </row>
    <row r="8997">
      <c r="A8997" s="3" t="s">
        <v>5930</v>
      </c>
      <c r="B8997" s="3" t="s">
        <v>6986</v>
      </c>
      <c r="C8997" s="3" t="s">
        <v>8414</v>
      </c>
      <c r="D8997" s="4" t="str">
        <f>HYPERLINK("https://12go.asia/en/travel/rangsit/jakarta", "12Go Link")</f>
        <v>12Go Link</v>
      </c>
      <c r="E8997" s="3" t="s">
        <v>3568</v>
      </c>
      <c r="K8997" s="5"/>
    </row>
    <row r="8998">
      <c r="A8998" s="3" t="s">
        <v>5930</v>
      </c>
      <c r="B8998" s="3" t="s">
        <v>6842</v>
      </c>
      <c r="C8998" s="3" t="s">
        <v>8415</v>
      </c>
      <c r="D8998" s="4" t="str">
        <f>HYPERLINK("https://12go.asia/en/travel/rangsit/jakarta-airport", "12Go Link")</f>
        <v>12Go Link</v>
      </c>
      <c r="E8998" s="3" t="s">
        <v>3568</v>
      </c>
      <c r="K8998" s="5"/>
    </row>
    <row r="8999">
      <c r="A8999" s="3" t="s">
        <v>5930</v>
      </c>
      <c r="B8999" s="3" t="s">
        <v>6923</v>
      </c>
      <c r="C8999" s="3" t="s">
        <v>8416</v>
      </c>
      <c r="D8999" s="4" t="str">
        <f>HYPERLINK("https://12go.asia/en/travel/rangsit/tangerang", "12Go Link")</f>
        <v>12Go Link</v>
      </c>
      <c r="E8999" s="3" t="s">
        <v>3568</v>
      </c>
      <c r="K8999" s="5"/>
    </row>
    <row r="9000">
      <c r="A9000" s="3" t="s">
        <v>5930</v>
      </c>
      <c r="B9000" s="3" t="s">
        <v>3569</v>
      </c>
      <c r="C9000" s="3" t="s">
        <v>8417</v>
      </c>
      <c r="D9000" s="4" t="str">
        <f>HYPERLINK("https://12go.asia/en/travel/rangsit/klang", "12Go Link")</f>
        <v>12Go Link</v>
      </c>
      <c r="E9000" s="3" t="s">
        <v>3568</v>
      </c>
      <c r="K9000" s="5"/>
    </row>
    <row r="9001">
      <c r="A9001" s="3" t="s">
        <v>5930</v>
      </c>
      <c r="B9001" s="3" t="s">
        <v>6975</v>
      </c>
      <c r="C9001" s="3" t="s">
        <v>8418</v>
      </c>
      <c r="D9001" s="4" t="str">
        <f>HYPERLINK("https://12go.asia/en/travel/rangsit/klia", "12Go Link")</f>
        <v>12Go Link</v>
      </c>
      <c r="E9001" s="3" t="s">
        <v>3568</v>
      </c>
      <c r="K9001" s="5"/>
    </row>
    <row r="9002">
      <c r="A9002" s="3" t="s">
        <v>5930</v>
      </c>
      <c r="B9002" s="3" t="s">
        <v>6870</v>
      </c>
      <c r="C9002" s="3" t="s">
        <v>8419</v>
      </c>
      <c r="D9002" s="4" t="str">
        <f>HYPERLINK("https://12go.asia/en/travel/rangsit/klia-ii", "12Go Link")</f>
        <v>12Go Link</v>
      </c>
      <c r="E9002" s="3" t="s">
        <v>3568</v>
      </c>
      <c r="K9002" s="5"/>
    </row>
    <row r="9003">
      <c r="A9003" s="3" t="s">
        <v>5930</v>
      </c>
      <c r="B9003" s="3" t="s">
        <v>6978</v>
      </c>
      <c r="C9003" s="3" t="s">
        <v>8420</v>
      </c>
      <c r="D9003" s="4" t="str">
        <f>HYPERLINK("https://12go.asia/en/travel/rangsit/kuala-lumpur-airport", "12Go Link")</f>
        <v>12Go Link</v>
      </c>
      <c r="E9003" s="3" t="s">
        <v>3568</v>
      </c>
      <c r="K9003" s="5"/>
    </row>
    <row r="9004">
      <c r="A9004" s="3" t="s">
        <v>5930</v>
      </c>
      <c r="B9004" s="3" t="s">
        <v>3571</v>
      </c>
      <c r="C9004" s="3" t="s">
        <v>8421</v>
      </c>
      <c r="D9004" s="4" t="str">
        <f>HYPERLINK("https://12go.asia/en/travel/rangsit/kuala-lumpur-sentral", "12Go Link")</f>
        <v>12Go Link</v>
      </c>
      <c r="E9004" s="3" t="s">
        <v>3568</v>
      </c>
      <c r="K9004" s="5"/>
    </row>
    <row r="9005">
      <c r="A9005" s="3" t="s">
        <v>5930</v>
      </c>
      <c r="B9005" s="3" t="s">
        <v>3573</v>
      </c>
      <c r="C9005" s="3" t="s">
        <v>8422</v>
      </c>
      <c r="D9005" s="4" t="str">
        <f>HYPERLINK("https://12go.asia/en/travel/rangsit/putrajaya", "12Go Link")</f>
        <v>12Go Link</v>
      </c>
      <c r="E9005" s="3" t="s">
        <v>3568</v>
      </c>
      <c r="K9005" s="5"/>
    </row>
    <row r="9006">
      <c r="A9006" s="3" t="s">
        <v>5930</v>
      </c>
      <c r="B9006" s="3" t="s">
        <v>3575</v>
      </c>
      <c r="C9006" s="3" t="s">
        <v>8423</v>
      </c>
      <c r="D9006" s="4" t="str">
        <f>HYPERLINK("https://12go.asia/en/travel/rangsit/seremban", "12Go Link")</f>
        <v>12Go Link</v>
      </c>
      <c r="E9006" s="3" t="s">
        <v>3568</v>
      </c>
      <c r="K9006" s="5"/>
    </row>
    <row r="9007">
      <c r="A9007" s="3" t="s">
        <v>5930</v>
      </c>
      <c r="B9007" s="3" t="s">
        <v>8424</v>
      </c>
      <c r="C9007" s="3" t="s">
        <v>8425</v>
      </c>
      <c r="D9007" s="4" t="str">
        <f>HYPERLINK("https://12go.asia/en/travel/rangsit/central", "12Go Link")</f>
        <v>12Go Link</v>
      </c>
      <c r="E9007" s="3" t="s">
        <v>3568</v>
      </c>
      <c r="K9007" s="5"/>
    </row>
    <row r="9008">
      <c r="A9008" s="3" t="s">
        <v>5930</v>
      </c>
      <c r="B9008" s="3" t="s">
        <v>8426</v>
      </c>
      <c r="C9008" s="3" t="s">
        <v>8427</v>
      </c>
      <c r="D9008" s="4" t="str">
        <f>HYPERLINK("https://12go.asia/en/travel/rangsit/kathmandu", "12Go Link")</f>
        <v>12Go Link</v>
      </c>
      <c r="E9008" s="3" t="s">
        <v>3568</v>
      </c>
      <c r="K9008" s="5"/>
    </row>
    <row r="9009">
      <c r="A9009" s="3" t="s">
        <v>5930</v>
      </c>
      <c r="B9009" s="3" t="s">
        <v>8188</v>
      </c>
      <c r="C9009" s="3" t="s">
        <v>8428</v>
      </c>
      <c r="D9009" s="4" t="str">
        <f>HYPERLINK("https://12go.asia/en/travel/rangsit/nagarkot", "12Go Link")</f>
        <v>12Go Link</v>
      </c>
      <c r="E9009" s="3" t="s">
        <v>3568</v>
      </c>
      <c r="K9009" s="5"/>
    </row>
    <row r="9010">
      <c r="A9010" s="3" t="s">
        <v>5930</v>
      </c>
      <c r="B9010" s="3" t="s">
        <v>8190</v>
      </c>
      <c r="C9010" s="3" t="s">
        <v>8429</v>
      </c>
      <c r="D9010" s="4" t="str">
        <f>HYPERLINK("https://12go.asia/en/travel/rangsit/panauti", "12Go Link")</f>
        <v>12Go Link</v>
      </c>
      <c r="E9010" s="3" t="s">
        <v>3568</v>
      </c>
      <c r="K9010" s="5"/>
    </row>
    <row r="9011">
      <c r="A9011" s="3" t="s">
        <v>5930</v>
      </c>
      <c r="B9011" s="3" t="s">
        <v>7227</v>
      </c>
      <c r="C9011" s="3" t="s">
        <v>8430</v>
      </c>
      <c r="D9011" s="4" t="str">
        <f>HYPERLINK("https://12go.asia/en/travel/rangsit/hsinchu", "12Go Link")</f>
        <v>12Go Link</v>
      </c>
      <c r="E9011" s="3" t="s">
        <v>3568</v>
      </c>
      <c r="K9011" s="5"/>
    </row>
    <row r="9012">
      <c r="A9012" s="3" t="s">
        <v>5930</v>
      </c>
      <c r="B9012" s="3" t="s">
        <v>7229</v>
      </c>
      <c r="C9012" s="3" t="s">
        <v>8431</v>
      </c>
      <c r="D9012" s="4" t="str">
        <f>HYPERLINK("https://12go.asia/en/travel/rangsit/jiaoxi", "12Go Link")</f>
        <v>12Go Link</v>
      </c>
      <c r="E9012" s="3" t="s">
        <v>3568</v>
      </c>
      <c r="K9012" s="5"/>
    </row>
    <row r="9013">
      <c r="A9013" s="3" t="s">
        <v>5930</v>
      </c>
      <c r="B9013" s="3" t="s">
        <v>7231</v>
      </c>
      <c r="C9013" s="3" t="s">
        <v>8432</v>
      </c>
      <c r="D9013" s="4" t="str">
        <f>HYPERLINK("https://12go.asia/en/travel/rangsit/keelung", "12Go Link")</f>
        <v>12Go Link</v>
      </c>
      <c r="E9013" s="3" t="s">
        <v>3568</v>
      </c>
      <c r="K9013" s="5"/>
    </row>
    <row r="9014">
      <c r="A9014" s="3" t="s">
        <v>5930</v>
      </c>
      <c r="B9014" s="3" t="s">
        <v>7198</v>
      </c>
      <c r="C9014" s="3" t="s">
        <v>8433</v>
      </c>
      <c r="D9014" s="4" t="str">
        <f>HYPERLINK("https://12go.asia/en/travel/rangsit/nangang", "12Go Link")</f>
        <v>12Go Link</v>
      </c>
      <c r="E9014" s="3" t="s">
        <v>3568</v>
      </c>
      <c r="K9014" s="5"/>
    </row>
    <row r="9015">
      <c r="A9015" s="3" t="s">
        <v>5930</v>
      </c>
      <c r="B9015" s="3" t="s">
        <v>7200</v>
      </c>
      <c r="C9015" s="3" t="s">
        <v>8434</v>
      </c>
      <c r="D9015" s="4" t="str">
        <f>HYPERLINK("https://12go.asia/en/travel/rangsit/new-taipei", "12Go Link")</f>
        <v>12Go Link</v>
      </c>
      <c r="E9015" s="3" t="s">
        <v>3568</v>
      </c>
      <c r="K9015" s="5"/>
    </row>
    <row r="9016">
      <c r="A9016" s="3" t="s">
        <v>5930</v>
      </c>
      <c r="B9016" s="3" t="s">
        <v>7202</v>
      </c>
      <c r="C9016" s="3" t="s">
        <v>8435</v>
      </c>
      <c r="D9016" s="4" t="str">
        <f>HYPERLINK("https://12go.asia/en/travel/rangsit/taipei", "12Go Link")</f>
        <v>12Go Link</v>
      </c>
      <c r="E9016" s="3" t="s">
        <v>3568</v>
      </c>
      <c r="K9016" s="5"/>
    </row>
    <row r="9017">
      <c r="A9017" s="3" t="s">
        <v>5930</v>
      </c>
      <c r="B9017" s="3" t="s">
        <v>7204</v>
      </c>
      <c r="C9017" s="3" t="s">
        <v>8436</v>
      </c>
      <c r="D9017" s="4" t="str">
        <f>HYPERLINK("https://12go.asia/en/travel/rangsit/taoyuan-airport", "12Go Link")</f>
        <v>12Go Link</v>
      </c>
      <c r="E9017" s="3" t="s">
        <v>3568</v>
      </c>
      <c r="K9017" s="5"/>
    </row>
    <row r="9018">
      <c r="A9018" s="3" t="s">
        <v>5930</v>
      </c>
      <c r="B9018" s="3" t="s">
        <v>7206</v>
      </c>
      <c r="C9018" s="3" t="s">
        <v>8437</v>
      </c>
      <c r="D9018" s="4" t="str">
        <f>HYPERLINK("https://12go.asia/en/travel/rangsit/taoyuan-city", "12Go Link")</f>
        <v>12Go Link</v>
      </c>
      <c r="E9018" s="3" t="s">
        <v>3568</v>
      </c>
      <c r="K9018" s="5"/>
    </row>
    <row r="9019">
      <c r="A9019" s="3" t="s">
        <v>5930</v>
      </c>
      <c r="B9019" s="3" t="s">
        <v>7208</v>
      </c>
      <c r="C9019" s="3" t="s">
        <v>8438</v>
      </c>
      <c r="D9019" s="4" t="str">
        <f>HYPERLINK("https://12go.asia/en/travel/rangsit/yangmingshan-national-park", "12Go Link")</f>
        <v>12Go Link</v>
      </c>
      <c r="E9019" s="3" t="s">
        <v>3568</v>
      </c>
      <c r="K9019" s="5"/>
    </row>
    <row r="9020">
      <c r="A9020" s="3" t="s">
        <v>5930</v>
      </c>
      <c r="B9020" s="3" t="s">
        <v>7210</v>
      </c>
      <c r="C9020" s="3" t="s">
        <v>8439</v>
      </c>
      <c r="D9020" s="4" t="str">
        <f>HYPERLINK("https://12go.asia/en/travel/rangsit/yilan", "12Go Link")</f>
        <v>12Go Link</v>
      </c>
      <c r="E9020" s="3" t="s">
        <v>3568</v>
      </c>
      <c r="K9020" s="5"/>
    </row>
    <row r="9021">
      <c r="A9021" s="3" t="s">
        <v>5930</v>
      </c>
      <c r="B9021" s="3" t="s">
        <v>7212</v>
      </c>
      <c r="C9021" s="3" t="s">
        <v>8440</v>
      </c>
      <c r="D9021" s="4" t="str">
        <f>HYPERLINK("https://12go.asia/en/travel/rangsit/zhubei", "12Go Link")</f>
        <v>12Go Link</v>
      </c>
      <c r="E9021" s="3" t="s">
        <v>3568</v>
      </c>
      <c r="K9021" s="5"/>
    </row>
    <row r="9022">
      <c r="A9022" s="3" t="s">
        <v>5930</v>
      </c>
      <c r="B9022" s="3" t="s">
        <v>8441</v>
      </c>
      <c r="C9022" s="3" t="s">
        <v>8442</v>
      </c>
      <c r="D9022" s="4" t="str">
        <f>HYPERLINK("https://12go.asia/en/travel/rangsit/chalong", "12Go Link")</f>
        <v>12Go Link</v>
      </c>
      <c r="E9022" s="3" t="s">
        <v>3568</v>
      </c>
      <c r="K9022" s="5"/>
    </row>
    <row r="9023">
      <c r="A9023" s="3" t="s">
        <v>5930</v>
      </c>
      <c r="B9023" s="3" t="s">
        <v>8443</v>
      </c>
      <c r="C9023" s="3" t="s">
        <v>8444</v>
      </c>
      <c r="D9023" s="4" t="str">
        <f>HYPERLINK("https://12go.asia/en/travel/rangsit/doi-phu-nang-national-park", "12Go Link")</f>
        <v>12Go Link</v>
      </c>
      <c r="E9023" s="3" t="s">
        <v>8</v>
      </c>
      <c r="K9023" s="5"/>
    </row>
    <row r="9024">
      <c r="A9024" s="3" t="s">
        <v>5930</v>
      </c>
      <c r="B9024" s="3" t="s">
        <v>8445</v>
      </c>
      <c r="C9024" s="3" t="s">
        <v>8446</v>
      </c>
      <c r="D9024" s="4" t="str">
        <f>HYPERLINK("https://12go.asia/en/travel/rangsit/kaeng-tana-national-park", "12Go Link")</f>
        <v>12Go Link</v>
      </c>
      <c r="E9024" s="3" t="s">
        <v>8</v>
      </c>
      <c r="K9024" s="5"/>
    </row>
    <row r="9025">
      <c r="A9025" s="3" t="s">
        <v>5930</v>
      </c>
      <c r="B9025" s="3" t="s">
        <v>8271</v>
      </c>
      <c r="C9025" s="3" t="s">
        <v>8447</v>
      </c>
      <c r="D9025" s="4" t="str">
        <f>HYPERLINK("https://12go.asia/en/travel/rangsit/khuan-don", "12Go Link")</f>
        <v>12Go Link</v>
      </c>
      <c r="E9025" s="3" t="s">
        <v>8</v>
      </c>
      <c r="K9025" s="5"/>
    </row>
    <row r="9026">
      <c r="A9026" s="3" t="s">
        <v>5930</v>
      </c>
      <c r="B9026" s="3" t="s">
        <v>8448</v>
      </c>
      <c r="C9026" s="3" t="s">
        <v>8449</v>
      </c>
      <c r="D9026" s="4" t="str">
        <f>HYPERLINK("https://12go.asia/en/travel/rangsit/naka-island", "12Go Link")</f>
        <v>12Go Link</v>
      </c>
      <c r="E9026" s="3" t="s">
        <v>3568</v>
      </c>
      <c r="K9026" s="5"/>
    </row>
    <row r="9027">
      <c r="A9027" s="3" t="s">
        <v>5930</v>
      </c>
      <c r="B9027" s="3" t="s">
        <v>8450</v>
      </c>
      <c r="C9027" s="3" t="s">
        <v>8451</v>
      </c>
      <c r="D9027" s="4" t="str">
        <f>HYPERLINK("https://12go.asia/en/travel/rangsit/patong", "12Go Link")</f>
        <v>12Go Link</v>
      </c>
      <c r="E9027" s="3" t="s">
        <v>3568</v>
      </c>
      <c r="K9027" s="5"/>
    </row>
    <row r="9028">
      <c r="A9028" s="3" t="s">
        <v>5930</v>
      </c>
      <c r="B9028" s="3" t="s">
        <v>8396</v>
      </c>
      <c r="C9028" s="3" t="s">
        <v>8452</v>
      </c>
      <c r="D9028" s="4" t="str">
        <f>HYPERLINK("https://12go.asia/en/travel/rangsit/rassada-pier", "12Go Link")</f>
        <v>12Go Link</v>
      </c>
      <c r="E9028" s="3" t="s">
        <v>3568</v>
      </c>
      <c r="K9028" s="5"/>
    </row>
    <row r="9029">
      <c r="A9029" s="3" t="s">
        <v>5930</v>
      </c>
      <c r="B9029" s="3" t="s">
        <v>8453</v>
      </c>
      <c r="C9029" s="3" t="s">
        <v>8454</v>
      </c>
      <c r="D9029" s="4" t="str">
        <f>HYPERLINK("https://12go.asia/en/travel/rangsit/sichon", "12Go Link")</f>
        <v>12Go Link</v>
      </c>
      <c r="E9029" s="3" t="s">
        <v>8</v>
      </c>
      <c r="K9029" s="5"/>
    </row>
    <row r="9030">
      <c r="A9030" s="3" t="s">
        <v>5930</v>
      </c>
      <c r="B9030" s="3" t="s">
        <v>8455</v>
      </c>
      <c r="C9030" s="3" t="s">
        <v>8456</v>
      </c>
      <c r="D9030" s="4" t="str">
        <f>HYPERLINK("https://12go.asia/en/travel/rangsit/sirinat-national-park", "12Go Link")</f>
        <v>12Go Link</v>
      </c>
      <c r="E9030" s="3" t="s">
        <v>3568</v>
      </c>
      <c r="K9030" s="5"/>
    </row>
    <row r="9031">
      <c r="A9031" s="3" t="s">
        <v>8088</v>
      </c>
      <c r="B9031" s="3" t="s">
        <v>238</v>
      </c>
      <c r="C9031" s="3" t="s">
        <v>8457</v>
      </c>
      <c r="D9031" s="4" t="str">
        <f t="shared" ref="D9031:D9034" si="1000">HYPERLINK("https://12go.asia/en/travel/Ranong-Hotel-Transfer/Bangkok-Transfer", "12Go Link")</f>
        <v>12Go Link</v>
      </c>
      <c r="E9031" s="3" t="s">
        <v>222</v>
      </c>
      <c r="K9031" s="5"/>
    </row>
    <row r="9032">
      <c r="A9032" s="3" t="s">
        <v>8088</v>
      </c>
      <c r="B9032" s="3" t="s">
        <v>238</v>
      </c>
      <c r="C9032" s="3" t="s">
        <v>8457</v>
      </c>
      <c r="D9032" s="4" t="str">
        <f t="shared" si="1000"/>
        <v>12Go Link</v>
      </c>
      <c r="E9032" s="3" t="s">
        <v>223</v>
      </c>
      <c r="K9032" s="5"/>
    </row>
    <row r="9033">
      <c r="A9033" s="3" t="s">
        <v>8088</v>
      </c>
      <c r="B9033" s="3" t="s">
        <v>238</v>
      </c>
      <c r="C9033" s="3" t="s">
        <v>8457</v>
      </c>
      <c r="D9033" s="4" t="str">
        <f t="shared" si="1000"/>
        <v>12Go Link</v>
      </c>
      <c r="E9033" s="3" t="s">
        <v>6599</v>
      </c>
      <c r="K9033" s="5"/>
    </row>
    <row r="9034">
      <c r="A9034" s="3" t="s">
        <v>8088</v>
      </c>
      <c r="B9034" s="3" t="s">
        <v>238</v>
      </c>
      <c r="C9034" s="3" t="s">
        <v>8457</v>
      </c>
      <c r="D9034" s="4" t="str">
        <f t="shared" si="1000"/>
        <v>12Go Link</v>
      </c>
      <c r="E9034" s="3" t="s">
        <v>3197</v>
      </c>
      <c r="K9034" s="5"/>
    </row>
    <row r="9035">
      <c r="A9035" s="3" t="s">
        <v>8088</v>
      </c>
      <c r="B9035" s="3" t="s">
        <v>8020</v>
      </c>
      <c r="C9035" s="3" t="s">
        <v>8458</v>
      </c>
      <c r="D9035" s="4" t="str">
        <f t="shared" ref="D9035:D9038" si="1001">HYPERLINK("https://12go.asia/en/travel/Ranong-Hotel-Transfer/Phuket-Airport", "12Go Link")</f>
        <v>12Go Link</v>
      </c>
      <c r="E9035" s="3" t="s">
        <v>222</v>
      </c>
      <c r="K9035" s="5"/>
    </row>
    <row r="9036">
      <c r="A9036" s="3" t="s">
        <v>8088</v>
      </c>
      <c r="B9036" s="3" t="s">
        <v>8020</v>
      </c>
      <c r="C9036" s="3" t="s">
        <v>8458</v>
      </c>
      <c r="D9036" s="4" t="str">
        <f t="shared" si="1001"/>
        <v>12Go Link</v>
      </c>
      <c r="E9036" s="3" t="s">
        <v>223</v>
      </c>
      <c r="K9036" s="5"/>
    </row>
    <row r="9037">
      <c r="A9037" s="3" t="s">
        <v>8088</v>
      </c>
      <c r="B9037" s="3" t="s">
        <v>8020</v>
      </c>
      <c r="C9037" s="3" t="s">
        <v>8458</v>
      </c>
      <c r="D9037" s="4" t="str">
        <f t="shared" si="1001"/>
        <v>12Go Link</v>
      </c>
      <c r="E9037" s="3" t="s">
        <v>6599</v>
      </c>
      <c r="K9037" s="5"/>
    </row>
    <row r="9038">
      <c r="A9038" s="3" t="s">
        <v>8088</v>
      </c>
      <c r="B9038" s="3" t="s">
        <v>8020</v>
      </c>
      <c r="C9038" s="3" t="s">
        <v>8458</v>
      </c>
      <c r="D9038" s="4" t="str">
        <f t="shared" si="1001"/>
        <v>12Go Link</v>
      </c>
      <c r="E9038" s="3" t="s">
        <v>3197</v>
      </c>
      <c r="K9038" s="5"/>
    </row>
    <row r="9039">
      <c r="A9039" s="3" t="s">
        <v>8088</v>
      </c>
      <c r="B9039" s="3" t="s">
        <v>8020</v>
      </c>
      <c r="C9039" s="3" t="s">
        <v>8459</v>
      </c>
      <c r="D9039" s="4" t="str">
        <f>HYPERLINK("https://12go.asia/en/travel/Rungkit-Tour-Office-Ranong/Phuket-Bus-Terminal-2", "12Go Link")</f>
        <v>12Go Link</v>
      </c>
      <c r="E9039" s="3" t="s">
        <v>8186</v>
      </c>
      <c r="K9039" s="5"/>
    </row>
    <row r="9040">
      <c r="A9040" s="3" t="s">
        <v>8396</v>
      </c>
      <c r="B9040" s="3" t="s">
        <v>8032</v>
      </c>
      <c r="C9040" s="3" t="s">
        <v>8460</v>
      </c>
      <c r="D9040" s="4" t="str">
        <f>HYPERLINK("https://12go.asia/en/travel/rassada-pier/ban-phe-pier", "12Go Link")</f>
        <v>12Go Link</v>
      </c>
      <c r="E9040" s="3" t="s">
        <v>3568</v>
      </c>
      <c r="K9040" s="5"/>
    </row>
    <row r="9041">
      <c r="A9041" s="3" t="s">
        <v>8396</v>
      </c>
      <c r="B9041" s="3" t="s">
        <v>8020</v>
      </c>
      <c r="C9041" s="3" t="s">
        <v>8461</v>
      </c>
      <c r="D9041" s="4" t="str">
        <f t="shared" ref="D9041:D9044" si="1002">HYPERLINK("https://12go.asia/en/travel/Rassada-Pier-Phuket/Phuket-Airport", "12Go Link")</f>
        <v>12Go Link</v>
      </c>
      <c r="E9041" s="3" t="s">
        <v>222</v>
      </c>
      <c r="K9041" s="5"/>
    </row>
    <row r="9042">
      <c r="A9042" s="3" t="s">
        <v>8396</v>
      </c>
      <c r="B9042" s="3" t="s">
        <v>8020</v>
      </c>
      <c r="C9042" s="3" t="s">
        <v>8461</v>
      </c>
      <c r="D9042" s="4" t="str">
        <f t="shared" si="1002"/>
        <v>12Go Link</v>
      </c>
      <c r="E9042" s="3" t="s">
        <v>223</v>
      </c>
      <c r="K9042" s="5"/>
    </row>
    <row r="9043">
      <c r="A9043" s="3" t="s">
        <v>8396</v>
      </c>
      <c r="B9043" s="3" t="s">
        <v>8020</v>
      </c>
      <c r="C9043" s="3" t="s">
        <v>8461</v>
      </c>
      <c r="D9043" s="4" t="str">
        <f t="shared" si="1002"/>
        <v>12Go Link</v>
      </c>
      <c r="E9043" s="3" t="s">
        <v>6599</v>
      </c>
      <c r="K9043" s="5"/>
    </row>
    <row r="9044">
      <c r="A9044" s="3" t="s">
        <v>8396</v>
      </c>
      <c r="B9044" s="3" t="s">
        <v>8020</v>
      </c>
      <c r="C9044" s="3" t="s">
        <v>8461</v>
      </c>
      <c r="D9044" s="4" t="str">
        <f t="shared" si="1002"/>
        <v>12Go Link</v>
      </c>
      <c r="E9044" s="3" t="s">
        <v>3197</v>
      </c>
      <c r="K9044" s="5"/>
    </row>
    <row r="9045">
      <c r="A9045" s="3" t="s">
        <v>8396</v>
      </c>
      <c r="B9045" s="3" t="s">
        <v>8090</v>
      </c>
      <c r="C9045" s="3" t="s">
        <v>8462</v>
      </c>
      <c r="D9045" s="4" t="str">
        <f>HYPERLINK("https://12go.asia/en/travel/rassada-pier/rayong", "12Go Link")</f>
        <v>12Go Link</v>
      </c>
      <c r="E9045" s="3" t="s">
        <v>3568</v>
      </c>
      <c r="K9045" s="5"/>
    </row>
    <row r="9046">
      <c r="A9046" s="3" t="s">
        <v>8396</v>
      </c>
      <c r="B9046" s="3" t="s">
        <v>8463</v>
      </c>
      <c r="C9046" s="3" t="s">
        <v>8464</v>
      </c>
      <c r="D9046" s="4" t="str">
        <f>HYPERLINK("https://12go.asia/en/travel/rassada-pier/sattahip", "12Go Link")</f>
        <v>12Go Link</v>
      </c>
      <c r="E9046" s="3" t="s">
        <v>3568</v>
      </c>
      <c r="K9046" s="5"/>
    </row>
    <row r="9047">
      <c r="A9047" s="3" t="s">
        <v>8396</v>
      </c>
      <c r="B9047" s="3" t="s">
        <v>8465</v>
      </c>
      <c r="C9047" s="3" t="s">
        <v>8466</v>
      </c>
      <c r="D9047" s="4" t="str">
        <f>HYPERLINK("https://12go.asia/en/travel/rassada-pier/thale-ban-national-park", "12Go Link")</f>
        <v>12Go Link</v>
      </c>
      <c r="E9047" s="3" t="s">
        <v>3568</v>
      </c>
      <c r="K9047" s="5"/>
    </row>
    <row r="9048">
      <c r="A9048" s="3" t="s">
        <v>8090</v>
      </c>
      <c r="B9048" s="3" t="s">
        <v>238</v>
      </c>
      <c r="C9048" s="3" t="s">
        <v>8467</v>
      </c>
      <c r="D9048" s="4" t="str">
        <f t="shared" ref="D9048:D9051" si="1003">HYPERLINK("https://12go.asia/en/travel/Rayong-Town-Hotel-Transfer/Bangkok-Transfer", "12Go Link")</f>
        <v>12Go Link</v>
      </c>
      <c r="E9048" s="3" t="s">
        <v>222</v>
      </c>
      <c r="K9048" s="5"/>
    </row>
    <row r="9049">
      <c r="A9049" s="3" t="s">
        <v>8090</v>
      </c>
      <c r="B9049" s="3" t="s">
        <v>238</v>
      </c>
      <c r="C9049" s="3" t="s">
        <v>8467</v>
      </c>
      <c r="D9049" s="4" t="str">
        <f t="shared" si="1003"/>
        <v>12Go Link</v>
      </c>
      <c r="E9049" s="3" t="s">
        <v>223</v>
      </c>
      <c r="K9049" s="5"/>
    </row>
    <row r="9050">
      <c r="A9050" s="3" t="s">
        <v>8090</v>
      </c>
      <c r="B9050" s="3" t="s">
        <v>238</v>
      </c>
      <c r="C9050" s="3" t="s">
        <v>8467</v>
      </c>
      <c r="D9050" s="4" t="str">
        <f t="shared" si="1003"/>
        <v>12Go Link</v>
      </c>
      <c r="E9050" s="3" t="s">
        <v>6599</v>
      </c>
      <c r="K9050" s="5"/>
    </row>
    <row r="9051">
      <c r="A9051" s="3" t="s">
        <v>8090</v>
      </c>
      <c r="B9051" s="3" t="s">
        <v>238</v>
      </c>
      <c r="C9051" s="3" t="s">
        <v>8467</v>
      </c>
      <c r="D9051" s="4" t="str">
        <f t="shared" si="1003"/>
        <v>12Go Link</v>
      </c>
      <c r="E9051" s="3" t="s">
        <v>3197</v>
      </c>
      <c r="K9051" s="5"/>
    </row>
    <row r="9052">
      <c r="A9052" s="3" t="s">
        <v>8090</v>
      </c>
      <c r="B9052" s="3" t="s">
        <v>8468</v>
      </c>
      <c r="C9052" s="3" t="s">
        <v>8469</v>
      </c>
      <c r="D9052" s="4" t="str">
        <f>HYPERLINK("https://12go.asia/en/travel/rayong/surin-nca-bus-terminal", "12Go Link")</f>
        <v>12Go Link</v>
      </c>
      <c r="E9052" s="3" t="s">
        <v>8</v>
      </c>
      <c r="K9052" s="5"/>
    </row>
    <row r="9053">
      <c r="A9053" s="3" t="s">
        <v>8092</v>
      </c>
      <c r="B9053" s="3" t="s">
        <v>238</v>
      </c>
      <c r="C9053" s="3" t="s">
        <v>8470</v>
      </c>
      <c r="D9053" s="4" t="str">
        <f t="shared" ref="D9053:D9056" si="1004">HYPERLINK("https://12go.asia/en/travel/Sa-Kaeo-Hotel-Transfer/Bangkok-Transfer", "12Go Link")</f>
        <v>12Go Link</v>
      </c>
      <c r="E9053" s="3" t="s">
        <v>222</v>
      </c>
      <c r="K9053" s="5"/>
    </row>
    <row r="9054">
      <c r="A9054" s="3" t="s">
        <v>8092</v>
      </c>
      <c r="B9054" s="3" t="s">
        <v>238</v>
      </c>
      <c r="C9054" s="3" t="s">
        <v>8470</v>
      </c>
      <c r="D9054" s="4" t="str">
        <f t="shared" si="1004"/>
        <v>12Go Link</v>
      </c>
      <c r="E9054" s="3" t="s">
        <v>223</v>
      </c>
      <c r="K9054" s="5"/>
    </row>
    <row r="9055">
      <c r="A9055" s="3" t="s">
        <v>8092</v>
      </c>
      <c r="B9055" s="3" t="s">
        <v>238</v>
      </c>
      <c r="C9055" s="3" t="s">
        <v>8470</v>
      </c>
      <c r="D9055" s="4" t="str">
        <f t="shared" si="1004"/>
        <v>12Go Link</v>
      </c>
      <c r="E9055" s="3" t="s">
        <v>6599</v>
      </c>
      <c r="K9055" s="5"/>
    </row>
    <row r="9056">
      <c r="A9056" s="3" t="s">
        <v>8092</v>
      </c>
      <c r="B9056" s="3" t="s">
        <v>238</v>
      </c>
      <c r="C9056" s="3" t="s">
        <v>8470</v>
      </c>
      <c r="D9056" s="4" t="str">
        <f t="shared" si="1004"/>
        <v>12Go Link</v>
      </c>
      <c r="E9056" s="3" t="s">
        <v>3197</v>
      </c>
      <c r="K9056" s="5"/>
    </row>
    <row r="9057">
      <c r="A9057" s="3" t="s">
        <v>8023</v>
      </c>
      <c r="B9057" s="3" t="s">
        <v>8008</v>
      </c>
      <c r="C9057" s="3" t="s">
        <v>8471</v>
      </c>
      <c r="D9057" s="4" t="str">
        <f>HYPERLINK("https://12go.asia/en/travel/Koh-Bulone-School-Beach/Ao-Nang", "12Go Link")</f>
        <v>12Go Link</v>
      </c>
      <c r="E9057" s="3" t="s">
        <v>8280</v>
      </c>
      <c r="K9057" s="5"/>
    </row>
    <row r="9058">
      <c r="A9058" s="3" t="s">
        <v>8023</v>
      </c>
      <c r="B9058" s="3" t="s">
        <v>7475</v>
      </c>
      <c r="C9058" s="3" t="s">
        <v>8472</v>
      </c>
      <c r="D9058" s="4" t="str">
        <f>HYPERLINK("https://12go.asia/en/travel/Koh-Bulone-School-Beach/Hat-Yai-Airport", "12Go Link")</f>
        <v>12Go Link</v>
      </c>
      <c r="E9058" s="3" t="s">
        <v>8280</v>
      </c>
      <c r="K9058" s="5"/>
    </row>
    <row r="9059">
      <c r="A9059" s="3" t="s">
        <v>8023</v>
      </c>
      <c r="B9059" s="3" t="s">
        <v>7475</v>
      </c>
      <c r="C9059" s="3" t="s">
        <v>8473</v>
      </c>
      <c r="D9059" s="4" t="str">
        <f>HYPERLINK("https://12go.asia/en/travel/Koh-Bulone-School-Beach/Hat-Yai-Transfer", "12Go Link")</f>
        <v>12Go Link</v>
      </c>
      <c r="E9059" s="3" t="s">
        <v>8280</v>
      </c>
      <c r="K9059" s="5"/>
    </row>
    <row r="9060">
      <c r="A9060" s="3" t="s">
        <v>8023</v>
      </c>
      <c r="B9060" s="3" t="s">
        <v>8018</v>
      </c>
      <c r="C9060" s="3" t="s">
        <v>8474</v>
      </c>
      <c r="D9060" s="4" t="str">
        <f>HYPERLINK("https://12go.asia/en/travel/Koh-Bulone-School-Beach/Krabi-Airport", "12Go Link")</f>
        <v>12Go Link</v>
      </c>
      <c r="E9060" s="3" t="s">
        <v>8280</v>
      </c>
      <c r="K9060" s="5"/>
    </row>
    <row r="9061">
      <c r="A9061" s="3" t="s">
        <v>8023</v>
      </c>
      <c r="B9061" s="3" t="s">
        <v>8018</v>
      </c>
      <c r="C9061" s="3" t="s">
        <v>8475</v>
      </c>
      <c r="D9061" s="4" t="str">
        <f>HYPERLINK("https://12go.asia/en/travel/Koh-Bulone-School-Beach/Krabi-Town", "12Go Link")</f>
        <v>12Go Link</v>
      </c>
      <c r="E9061" s="3" t="s">
        <v>8280</v>
      </c>
      <c r="K9061" s="5"/>
    </row>
    <row r="9062">
      <c r="A9062" s="3" t="s">
        <v>8023</v>
      </c>
      <c r="B9062" s="3" t="s">
        <v>8238</v>
      </c>
      <c r="C9062" s="3" t="s">
        <v>8476</v>
      </c>
      <c r="D9062" s="4" t="str">
        <f>HYPERLINK("https://12go.asia/en/travel/Koh-Bulone-School-Beach/Pak-Bara-Pier", "12Go Link")</f>
        <v>12Go Link</v>
      </c>
      <c r="E9062" s="3" t="s">
        <v>6656</v>
      </c>
      <c r="K9062" s="5"/>
    </row>
    <row r="9063">
      <c r="A9063" s="3" t="s">
        <v>8023</v>
      </c>
      <c r="B9063" s="3" t="s">
        <v>8020</v>
      </c>
      <c r="C9063" s="3" t="s">
        <v>8477</v>
      </c>
      <c r="D9063" s="4" t="str">
        <f t="shared" ref="D9063:D9066" si="1005">HYPERLINK("https://12go.asia/en/travel/Pak-Bara-Pier/Phuket-Airport", "12Go Link")</f>
        <v>12Go Link</v>
      </c>
      <c r="E9063" s="3" t="s">
        <v>222</v>
      </c>
      <c r="K9063" s="5"/>
    </row>
    <row r="9064">
      <c r="A9064" s="3" t="s">
        <v>8023</v>
      </c>
      <c r="B9064" s="3" t="s">
        <v>8020</v>
      </c>
      <c r="C9064" s="3" t="s">
        <v>8477</v>
      </c>
      <c r="D9064" s="4" t="str">
        <f t="shared" si="1005"/>
        <v>12Go Link</v>
      </c>
      <c r="E9064" s="3" t="s">
        <v>223</v>
      </c>
      <c r="K9064" s="5"/>
    </row>
    <row r="9065">
      <c r="A9065" s="3" t="s">
        <v>8023</v>
      </c>
      <c r="B9065" s="3" t="s">
        <v>8020</v>
      </c>
      <c r="C9065" s="3" t="s">
        <v>8477</v>
      </c>
      <c r="D9065" s="4" t="str">
        <f t="shared" si="1005"/>
        <v>12Go Link</v>
      </c>
      <c r="E9065" s="3" t="s">
        <v>6599</v>
      </c>
      <c r="K9065" s="5"/>
    </row>
    <row r="9066">
      <c r="A9066" s="3" t="s">
        <v>8023</v>
      </c>
      <c r="B9066" s="3" t="s">
        <v>8020</v>
      </c>
      <c r="C9066" s="3" t="s">
        <v>8477</v>
      </c>
      <c r="D9066" s="4" t="str">
        <f t="shared" si="1005"/>
        <v>12Go Link</v>
      </c>
      <c r="E9066" s="3" t="s">
        <v>3197</v>
      </c>
      <c r="K9066" s="5"/>
    </row>
    <row r="9067">
      <c r="A9067" s="3" t="s">
        <v>8023</v>
      </c>
      <c r="B9067" s="3" t="s">
        <v>8287</v>
      </c>
      <c r="C9067" s="3" t="s">
        <v>8478</v>
      </c>
      <c r="D9067" s="4" t="str">
        <f>HYPERLINK("https://12go.asia/en/travel/Koh-Bulone-School-Beach/Trang-Airport", "12Go Link")</f>
        <v>12Go Link</v>
      </c>
      <c r="E9067" s="3" t="s">
        <v>8280</v>
      </c>
      <c r="K9067" s="5"/>
    </row>
    <row r="9068">
      <c r="A9068" s="3" t="s">
        <v>8023</v>
      </c>
      <c r="B9068" s="3" t="s">
        <v>8287</v>
      </c>
      <c r="C9068" s="3" t="s">
        <v>8479</v>
      </c>
      <c r="D9068" s="4" t="str">
        <f>HYPERLINK("https://12go.asia/en/travel/Koh-Bulone-School-Beach/Trang-Town", "12Go Link")</f>
        <v>12Go Link</v>
      </c>
      <c r="E9068" s="3" t="s">
        <v>8280</v>
      </c>
      <c r="K9068" s="5"/>
    </row>
    <row r="9069">
      <c r="A9069" s="3" t="s">
        <v>8149</v>
      </c>
      <c r="B9069" s="3" t="s">
        <v>8047</v>
      </c>
      <c r="C9069" s="3" t="s">
        <v>8480</v>
      </c>
      <c r="D9069" s="4" t="str">
        <f t="shared" ref="D9069:D9071" si="1006">HYPERLINK("https://12go.asia/en/travel/Sukhothai-Hotel-Transfer/Chiang-Mai-Airport", "12Go Link")</f>
        <v>12Go Link</v>
      </c>
      <c r="E9069" s="3" t="s">
        <v>222</v>
      </c>
      <c r="K9069" s="5"/>
    </row>
    <row r="9070">
      <c r="A9070" s="3" t="s">
        <v>8149</v>
      </c>
      <c r="B9070" s="3" t="s">
        <v>8047</v>
      </c>
      <c r="C9070" s="3" t="s">
        <v>8480</v>
      </c>
      <c r="D9070" s="4" t="str">
        <f t="shared" si="1006"/>
        <v>12Go Link</v>
      </c>
      <c r="E9070" s="3" t="s">
        <v>8111</v>
      </c>
      <c r="K9070" s="5"/>
    </row>
    <row r="9071">
      <c r="A9071" s="3" t="s">
        <v>8149</v>
      </c>
      <c r="B9071" s="3" t="s">
        <v>8047</v>
      </c>
      <c r="C9071" s="3" t="s">
        <v>8480</v>
      </c>
      <c r="D9071" s="4" t="str">
        <f t="shared" si="1006"/>
        <v>12Go Link</v>
      </c>
      <c r="E9071" s="3" t="s">
        <v>3197</v>
      </c>
      <c r="K9071" s="5"/>
    </row>
    <row r="9072">
      <c r="A9072" s="3" t="s">
        <v>8149</v>
      </c>
      <c r="B9072" s="3" t="s">
        <v>8047</v>
      </c>
      <c r="C9072" s="3" t="s">
        <v>8481</v>
      </c>
      <c r="D9072" s="4" t="str">
        <f t="shared" ref="D9072:D9074" si="1007">HYPERLINK("https://12go.asia/en/travel/Sukhothai-Hotel-Transfer/Chiang-Mai-City-Transfer", "12Go Link")</f>
        <v>12Go Link</v>
      </c>
      <c r="E9072" s="3" t="s">
        <v>222</v>
      </c>
      <c r="K9072" s="5"/>
    </row>
    <row r="9073">
      <c r="A9073" s="3" t="s">
        <v>8149</v>
      </c>
      <c r="B9073" s="3" t="s">
        <v>8047</v>
      </c>
      <c r="C9073" s="3" t="s">
        <v>8481</v>
      </c>
      <c r="D9073" s="4" t="str">
        <f t="shared" si="1007"/>
        <v>12Go Link</v>
      </c>
      <c r="E9073" s="3" t="s">
        <v>8111</v>
      </c>
      <c r="K9073" s="5"/>
    </row>
    <row r="9074">
      <c r="A9074" s="3" t="s">
        <v>8149</v>
      </c>
      <c r="B9074" s="3" t="s">
        <v>8047</v>
      </c>
      <c r="C9074" s="3" t="s">
        <v>8481</v>
      </c>
      <c r="D9074" s="4" t="str">
        <f t="shared" si="1007"/>
        <v>12Go Link</v>
      </c>
      <c r="E9074" s="3" t="s">
        <v>3197</v>
      </c>
      <c r="K9074" s="5"/>
    </row>
    <row r="9075">
      <c r="A9075" s="3" t="s">
        <v>8098</v>
      </c>
      <c r="B9075" s="3" t="s">
        <v>8008</v>
      </c>
      <c r="C9075" s="3" t="s">
        <v>8482</v>
      </c>
      <c r="D9075" s="4" t="str">
        <f>HYPERLINK("https://12go.asia/en/travel/Surat-Thani-Town-Transfer/Ao-Nang-Transfer-except-Krabi-Town-and-Railay", "12Go Link")</f>
        <v>12Go Link</v>
      </c>
      <c r="E9075" s="3" t="s">
        <v>226</v>
      </c>
      <c r="K9075" s="5"/>
    </row>
    <row r="9076">
      <c r="A9076" s="3" t="s">
        <v>8098</v>
      </c>
      <c r="B9076" s="3" t="s">
        <v>238</v>
      </c>
      <c r="C9076" s="3" t="s">
        <v>8483</v>
      </c>
      <c r="D9076" s="4" t="str">
        <f t="shared" ref="D9076:D9079" si="1008">HYPERLINK("https://12go.asia/en/travel/Surat-Thani-Town-Transfer/Bangkok-Transfer", "12Go Link")</f>
        <v>12Go Link</v>
      </c>
      <c r="E9076" s="3" t="s">
        <v>222</v>
      </c>
      <c r="K9076" s="5"/>
    </row>
    <row r="9077">
      <c r="A9077" s="3" t="s">
        <v>8098</v>
      </c>
      <c r="B9077" s="3" t="s">
        <v>238</v>
      </c>
      <c r="C9077" s="3" t="s">
        <v>8483</v>
      </c>
      <c r="D9077" s="4" t="str">
        <f t="shared" si="1008"/>
        <v>12Go Link</v>
      </c>
      <c r="E9077" s="3" t="s">
        <v>223</v>
      </c>
      <c r="K9077" s="5"/>
    </row>
    <row r="9078">
      <c r="A9078" s="3" t="s">
        <v>8098</v>
      </c>
      <c r="B9078" s="3" t="s">
        <v>238</v>
      </c>
      <c r="C9078" s="3" t="s">
        <v>8483</v>
      </c>
      <c r="D9078" s="4" t="str">
        <f t="shared" si="1008"/>
        <v>12Go Link</v>
      </c>
      <c r="E9078" s="3" t="s">
        <v>6599</v>
      </c>
      <c r="K9078" s="5"/>
    </row>
    <row r="9079">
      <c r="A9079" s="3" t="s">
        <v>8098</v>
      </c>
      <c r="B9079" s="3" t="s">
        <v>238</v>
      </c>
      <c r="C9079" s="3" t="s">
        <v>8483</v>
      </c>
      <c r="D9079" s="4" t="str">
        <f t="shared" si="1008"/>
        <v>12Go Link</v>
      </c>
      <c r="E9079" s="3" t="s">
        <v>3197</v>
      </c>
      <c r="K9079" s="5"/>
    </row>
    <row r="9080">
      <c r="A9080" s="3" t="s">
        <v>8098</v>
      </c>
      <c r="B9080" s="3" t="s">
        <v>8193</v>
      </c>
      <c r="C9080" s="3" t="s">
        <v>8484</v>
      </c>
      <c r="D9080" s="4" t="str">
        <f>HYPERLINK("https://12go.asia/en/travel/Surat-Thani-Airport/Donsak-Piers", "12Go Link")</f>
        <v>12Go Link</v>
      </c>
      <c r="E9080" s="3" t="s">
        <v>226</v>
      </c>
      <c r="K9080" s="5"/>
    </row>
    <row r="9081">
      <c r="A9081" s="3" t="s">
        <v>8098</v>
      </c>
      <c r="B9081" s="3" t="s">
        <v>8193</v>
      </c>
      <c r="C9081" s="3" t="s">
        <v>8485</v>
      </c>
      <c r="D9081" s="4" t="str">
        <f>HYPERLINK("https://12go.asia/en/travel/Surat-Thani-Town-Transfer/Donsak-Piers", "12Go Link")</f>
        <v>12Go Link</v>
      </c>
      <c r="E9081" s="3" t="s">
        <v>226</v>
      </c>
      <c r="K9081" s="5"/>
    </row>
    <row r="9082">
      <c r="A9082" s="3" t="s">
        <v>8098</v>
      </c>
      <c r="B9082" s="3" t="s">
        <v>8486</v>
      </c>
      <c r="C9082" s="3" t="s">
        <v>8487</v>
      </c>
      <c r="D9082" s="4" t="str">
        <f>HYPERLINK("https://12go.asia/en/travel/Surat-Thani-Airport/Khanom-Hotel-Transfer", "12Go Link")</f>
        <v>12Go Link</v>
      </c>
      <c r="E9082" s="3" t="s">
        <v>226</v>
      </c>
      <c r="K9082" s="5"/>
    </row>
    <row r="9083">
      <c r="A9083" s="3" t="s">
        <v>8098</v>
      </c>
      <c r="B9083" s="3" t="s">
        <v>8486</v>
      </c>
      <c r="C9083" s="3" t="s">
        <v>8488</v>
      </c>
      <c r="D9083" s="4" t="str">
        <f>HYPERLINK("https://12go.asia/en/travel/Surat-Thani-Town-Transfer/Khanom-Hotel-Transfer", "12Go Link")</f>
        <v>12Go Link</v>
      </c>
      <c r="E9083" s="3" t="s">
        <v>226</v>
      </c>
      <c r="K9083" s="5"/>
    </row>
    <row r="9084">
      <c r="A9084" s="3" t="s">
        <v>8098</v>
      </c>
      <c r="B9084" s="3" t="s">
        <v>8199</v>
      </c>
      <c r="C9084" s="3" t="s">
        <v>8489</v>
      </c>
      <c r="D9084" s="4" t="str">
        <f>HYPERLINK("https://12go.asia/en/travel/Surat-Thani-Airport/Khao-Lak-Transfer", "12Go Link")</f>
        <v>12Go Link</v>
      </c>
      <c r="E9084" s="3" t="s">
        <v>226</v>
      </c>
      <c r="K9084" s="5"/>
    </row>
    <row r="9085">
      <c r="A9085" s="3" t="s">
        <v>8098</v>
      </c>
      <c r="B9085" s="3" t="s">
        <v>8199</v>
      </c>
      <c r="C9085" s="3" t="s">
        <v>8490</v>
      </c>
      <c r="D9085" s="4" t="str">
        <f>HYPERLINK("https://12go.asia/en/travel/Surat-Thani-Town-Transfer/Khao-Lak-Transfer", "12Go Link")</f>
        <v>12Go Link</v>
      </c>
      <c r="E9085" s="3" t="s">
        <v>226</v>
      </c>
      <c r="K9085" s="5"/>
    </row>
    <row r="9086">
      <c r="A9086" s="3" t="s">
        <v>8098</v>
      </c>
      <c r="B9086" s="3" t="s">
        <v>8201</v>
      </c>
      <c r="C9086" s="3" t="s">
        <v>8491</v>
      </c>
      <c r="D9086" s="4" t="str">
        <f>HYPERLINK("https://12go.asia/en/travel/Surat-Thani-Airport/Khao-Sok-Transfer", "12Go Link")</f>
        <v>12Go Link</v>
      </c>
      <c r="E9086" s="3" t="s">
        <v>226</v>
      </c>
      <c r="K9086" s="5"/>
    </row>
    <row r="9087">
      <c r="A9087" s="3" t="s">
        <v>8098</v>
      </c>
      <c r="B9087" s="3" t="s">
        <v>8201</v>
      </c>
      <c r="C9087" s="3" t="s">
        <v>8492</v>
      </c>
      <c r="D9087" s="4" t="str">
        <f>HYPERLINK("https://12go.asia/en/travel/Surat-Thani-Town-Transfer/Khao-Sok-Transfer", "12Go Link")</f>
        <v>12Go Link</v>
      </c>
      <c r="E9087" s="3" t="s">
        <v>226</v>
      </c>
      <c r="K9087" s="5"/>
    </row>
    <row r="9088">
      <c r="A9088" s="3" t="s">
        <v>8098</v>
      </c>
      <c r="B9088" s="3" t="s">
        <v>8203</v>
      </c>
      <c r="C9088" s="3" t="s">
        <v>8493</v>
      </c>
      <c r="D9088" s="4" t="str">
        <f>HYPERLINK("https://12go.asia/en/travel/Surat-Thani-Town-Transfer/Koh-Lanta-Hotel-Transfer", "12Go Link")</f>
        <v>12Go Link</v>
      </c>
      <c r="E9088" s="3" t="s">
        <v>226</v>
      </c>
      <c r="K9088" s="5"/>
    </row>
    <row r="9089">
      <c r="A9089" s="3" t="s">
        <v>8098</v>
      </c>
      <c r="B9089" s="3" t="s">
        <v>8018</v>
      </c>
      <c r="C9089" s="3" t="s">
        <v>8494</v>
      </c>
      <c r="D9089" s="4" t="str">
        <f>HYPERLINK("https://12go.asia/en/travel/Surat-Thani-Town-Transfer/Ao-Nam-Mao-Pier", "12Go Link")</f>
        <v>12Go Link</v>
      </c>
      <c r="E9089" s="3" t="s">
        <v>226</v>
      </c>
      <c r="K9089" s="5"/>
    </row>
    <row r="9090">
      <c r="A9090" s="3" t="s">
        <v>8098</v>
      </c>
      <c r="B9090" s="3" t="s">
        <v>8018</v>
      </c>
      <c r="C9090" s="3" t="s">
        <v>8495</v>
      </c>
      <c r="D9090" s="4" t="str">
        <f>HYPERLINK("https://12go.asia/en/travel/Surat-Thani-Town-Transfer/Klong-Jilad-Pier", "12Go Link")</f>
        <v>12Go Link</v>
      </c>
      <c r="E9090" s="3" t="s">
        <v>226</v>
      </c>
      <c r="K9090" s="5"/>
    </row>
    <row r="9091">
      <c r="A9091" s="3" t="s">
        <v>8098</v>
      </c>
      <c r="B9091" s="3" t="s">
        <v>8018</v>
      </c>
      <c r="C9091" s="3" t="s">
        <v>8496</v>
      </c>
      <c r="D9091" s="4" t="str">
        <f>HYPERLINK("https://12go.asia/en/travel/Surat-Thani-Town-Transfer/Krabi-Airport", "12Go Link")</f>
        <v>12Go Link</v>
      </c>
      <c r="E9091" s="3" t="s">
        <v>226</v>
      </c>
      <c r="K9091" s="5"/>
    </row>
    <row r="9092">
      <c r="A9092" s="3" t="s">
        <v>8098</v>
      </c>
      <c r="B9092" s="3" t="s">
        <v>8018</v>
      </c>
      <c r="C9092" s="3" t="s">
        <v>8497</v>
      </c>
      <c r="D9092" s="4" t="str">
        <f>HYPERLINK("https://12go.asia/en/travel/Surat-Thani-Town-Transfer/Krabi-Town-Transfer", "12Go Link")</f>
        <v>12Go Link</v>
      </c>
      <c r="E9092" s="3" t="s">
        <v>226</v>
      </c>
      <c r="K9092" s="5"/>
    </row>
    <row r="9093">
      <c r="A9093" s="3" t="s">
        <v>8098</v>
      </c>
      <c r="B9093" s="3" t="s">
        <v>8209</v>
      </c>
      <c r="C9093" s="3" t="s">
        <v>8498</v>
      </c>
      <c r="D9093" s="4" t="str">
        <f>HYPERLINK("https://12go.asia/en/travel/Surat-Thani-Airport/Sichon-Transfer", "12Go Link")</f>
        <v>12Go Link</v>
      </c>
      <c r="E9093" s="3" t="s">
        <v>226</v>
      </c>
      <c r="K9093" s="5"/>
    </row>
    <row r="9094">
      <c r="A9094" s="3" t="s">
        <v>8098</v>
      </c>
      <c r="B9094" s="3" t="s">
        <v>8209</v>
      </c>
      <c r="C9094" s="3" t="s">
        <v>8499</v>
      </c>
      <c r="D9094" s="4" t="str">
        <f>HYPERLINK("https://12go.asia/en/travel/Surat-Thani-Town-Transfer/Sichon-Transfer", "12Go Link")</f>
        <v>12Go Link</v>
      </c>
      <c r="E9094" s="3" t="s">
        <v>226</v>
      </c>
      <c r="K9094" s="5"/>
    </row>
    <row r="9095">
      <c r="A9095" s="3" t="s">
        <v>8098</v>
      </c>
      <c r="B9095" s="3" t="s">
        <v>8083</v>
      </c>
      <c r="C9095" s="3" t="s">
        <v>8500</v>
      </c>
      <c r="D9095" s="4" t="str">
        <f>HYPERLINK("https://12go.asia/en/travel/Surat-Thani-Airport/Phang-Nga-town", "12Go Link")</f>
        <v>12Go Link</v>
      </c>
      <c r="E9095" s="3" t="s">
        <v>226</v>
      </c>
      <c r="K9095" s="5"/>
    </row>
    <row r="9096">
      <c r="A9096" s="3" t="s">
        <v>8098</v>
      </c>
      <c r="B9096" s="3" t="s">
        <v>8083</v>
      </c>
      <c r="C9096" s="3" t="s">
        <v>8501</v>
      </c>
      <c r="D9096" s="4" t="str">
        <f>HYPERLINK("https://12go.asia/en/travel/Surat-Thani-Town-Transfer/Phang-Nga-town", "12Go Link")</f>
        <v>12Go Link</v>
      </c>
      <c r="E9096" s="3" t="s">
        <v>226</v>
      </c>
      <c r="K9096" s="5"/>
    </row>
    <row r="9097">
      <c r="A9097" s="3" t="s">
        <v>8098</v>
      </c>
      <c r="B9097" s="3" t="s">
        <v>8020</v>
      </c>
      <c r="C9097" s="3" t="s">
        <v>8502</v>
      </c>
      <c r="D9097" s="4" t="str">
        <f>HYPERLINK("https://12go.asia/en/travel/Surat-Thani-Town-Transfer/Patong-Kata-Karon-Transfer", "12Go Link")</f>
        <v>12Go Link</v>
      </c>
      <c r="E9097" s="3" t="s">
        <v>226</v>
      </c>
      <c r="K9097" s="5"/>
    </row>
    <row r="9098">
      <c r="A9098" s="3" t="s">
        <v>8098</v>
      </c>
      <c r="B9098" s="3" t="s">
        <v>8020</v>
      </c>
      <c r="C9098" s="3" t="s">
        <v>8503</v>
      </c>
      <c r="D9098" s="4" t="str">
        <f t="shared" ref="D9098:D9102" si="1009">HYPERLINK("https://12go.asia/en/travel/Surat-Thani-Town-Transfer/Phuket-Airport", "12Go Link")</f>
        <v>12Go Link</v>
      </c>
      <c r="E9098" s="3" t="s">
        <v>222</v>
      </c>
      <c r="K9098" s="5"/>
    </row>
    <row r="9099">
      <c r="A9099" s="3" t="s">
        <v>8098</v>
      </c>
      <c r="B9099" s="3" t="s">
        <v>8020</v>
      </c>
      <c r="C9099" s="3" t="s">
        <v>8503</v>
      </c>
      <c r="D9099" s="4" t="str">
        <f t="shared" si="1009"/>
        <v>12Go Link</v>
      </c>
      <c r="E9099" s="3" t="s">
        <v>223</v>
      </c>
      <c r="K9099" s="5"/>
    </row>
    <row r="9100">
      <c r="A9100" s="3" t="s">
        <v>8098</v>
      </c>
      <c r="B9100" s="3" t="s">
        <v>8020</v>
      </c>
      <c r="C9100" s="3" t="s">
        <v>8503</v>
      </c>
      <c r="D9100" s="4" t="str">
        <f t="shared" si="1009"/>
        <v>12Go Link</v>
      </c>
      <c r="E9100" s="3" t="s">
        <v>6599</v>
      </c>
      <c r="K9100" s="5"/>
    </row>
    <row r="9101">
      <c r="A9101" s="3" t="s">
        <v>8098</v>
      </c>
      <c r="B9101" s="3" t="s">
        <v>8020</v>
      </c>
      <c r="C9101" s="3" t="s">
        <v>8503</v>
      </c>
      <c r="D9101" s="4" t="str">
        <f t="shared" si="1009"/>
        <v>12Go Link</v>
      </c>
      <c r="E9101" s="3" t="s">
        <v>226</v>
      </c>
      <c r="K9101" s="5"/>
    </row>
    <row r="9102">
      <c r="A9102" s="3" t="s">
        <v>8098</v>
      </c>
      <c r="B9102" s="3" t="s">
        <v>8020</v>
      </c>
      <c r="C9102" s="3" t="s">
        <v>8503</v>
      </c>
      <c r="D9102" s="4" t="str">
        <f t="shared" si="1009"/>
        <v>12Go Link</v>
      </c>
      <c r="E9102" s="3" t="s">
        <v>3197</v>
      </c>
      <c r="K9102" s="5"/>
    </row>
    <row r="9103">
      <c r="A9103" s="3" t="s">
        <v>8098</v>
      </c>
      <c r="B9103" s="3" t="s">
        <v>8020</v>
      </c>
      <c r="C9103" s="3" t="s">
        <v>8504</v>
      </c>
      <c r="D9103" s="4" t="str">
        <f>HYPERLINK("https://12go.asia/en/travel/Surat-Thani-Town-Transfer/Phuket-Town-Hotel-Transfer", "12Go Link")</f>
        <v>12Go Link</v>
      </c>
      <c r="E9103" s="3" t="s">
        <v>226</v>
      </c>
      <c r="K9103" s="5"/>
    </row>
    <row r="9104">
      <c r="A9104" s="3" t="s">
        <v>8098</v>
      </c>
      <c r="B9104" s="3" t="s">
        <v>8098</v>
      </c>
      <c r="C9104" s="3" t="s">
        <v>8505</v>
      </c>
      <c r="D9104" s="4" t="str">
        <f>HYPERLINK("https://12go.asia/en/travel/Surat-Thani-Airport/Ratchaprapha-Dam", "12Go Link")</f>
        <v>12Go Link</v>
      </c>
      <c r="E9104" s="3" t="s">
        <v>226</v>
      </c>
      <c r="K9104" s="5"/>
    </row>
    <row r="9105">
      <c r="A9105" s="3" t="s">
        <v>8098</v>
      </c>
      <c r="B9105" s="3" t="s">
        <v>8098</v>
      </c>
      <c r="C9105" s="3" t="s">
        <v>8506</v>
      </c>
      <c r="D9105" s="4" t="str">
        <f>HYPERLINK("https://12go.asia/en/travel/Surat-Thani-Town-Transfer/Ratchaprapha-Dam", "12Go Link")</f>
        <v>12Go Link</v>
      </c>
      <c r="E9105" s="3" t="s">
        <v>226</v>
      </c>
      <c r="K9105" s="5"/>
    </row>
    <row r="9106">
      <c r="A9106" s="3" t="s">
        <v>8507</v>
      </c>
      <c r="B9106" s="3" t="s">
        <v>8008</v>
      </c>
      <c r="C9106" s="3" t="s">
        <v>8508</v>
      </c>
      <c r="D9106" s="4" t="str">
        <f>HYPERLINK("https://12go.asia/en/travel/surat-thani-bus-terminal/ao-nang", "12Go Link")</f>
        <v>12Go Link</v>
      </c>
      <c r="E9106" s="3" t="s">
        <v>8509</v>
      </c>
      <c r="K9106" s="5"/>
    </row>
    <row r="9107">
      <c r="A9107" s="3" t="s">
        <v>8507</v>
      </c>
      <c r="B9107" s="3" t="s">
        <v>8333</v>
      </c>
      <c r="C9107" s="3" t="s">
        <v>8510</v>
      </c>
      <c r="D9107" s="4" t="str">
        <f>HYPERLINK("https://12go.asia/en/travel/surat-thani-bus-terminal/nakhon-pathom", "12Go Link")</f>
        <v>12Go Link</v>
      </c>
      <c r="E9107" s="3" t="s">
        <v>8</v>
      </c>
      <c r="K9107" s="5"/>
    </row>
    <row r="9108">
      <c r="A9108" s="3" t="s">
        <v>8468</v>
      </c>
      <c r="B9108" s="3" t="s">
        <v>8090</v>
      </c>
      <c r="C9108" s="3" t="s">
        <v>8511</v>
      </c>
      <c r="D9108" s="4" t="str">
        <f>HYPERLINK("https://12go.asia/en/travel/surin-nca-bus-terminal/rayong", "12Go Link")</f>
        <v>12Go Link</v>
      </c>
      <c r="E9108" s="3" t="s">
        <v>8</v>
      </c>
      <c r="K9108" s="5"/>
    </row>
    <row r="9109">
      <c r="A9109" s="3" t="s">
        <v>8028</v>
      </c>
      <c r="B9109" s="3" t="s">
        <v>8008</v>
      </c>
      <c r="C9109" s="3" t="s">
        <v>8512</v>
      </c>
      <c r="D9109" s="4" t="str">
        <f t="shared" ref="D9109:D9112" si="1010">HYPERLINK("https://12go.asia/en/travel/Suvarnabhumi-Airport/Ao-Nang-Transfer", "12Go Link")</f>
        <v>12Go Link</v>
      </c>
      <c r="E9109" s="3" t="s">
        <v>222</v>
      </c>
      <c r="K9109" s="5"/>
    </row>
    <row r="9110">
      <c r="A9110" s="3" t="s">
        <v>8028</v>
      </c>
      <c r="B9110" s="3" t="s">
        <v>8008</v>
      </c>
      <c r="C9110" s="3" t="s">
        <v>8512</v>
      </c>
      <c r="D9110" s="4" t="str">
        <f t="shared" si="1010"/>
        <v>12Go Link</v>
      </c>
      <c r="E9110" s="3" t="s">
        <v>223</v>
      </c>
      <c r="K9110" s="5"/>
    </row>
    <row r="9111">
      <c r="A9111" s="3" t="s">
        <v>8028</v>
      </c>
      <c r="B9111" s="3" t="s">
        <v>8008</v>
      </c>
      <c r="C9111" s="3" t="s">
        <v>8512</v>
      </c>
      <c r="D9111" s="4" t="str">
        <f t="shared" si="1010"/>
        <v>12Go Link</v>
      </c>
      <c r="E9111" s="3" t="s">
        <v>6599</v>
      </c>
      <c r="K9111" s="5"/>
    </row>
    <row r="9112">
      <c r="A9112" s="3" t="s">
        <v>8028</v>
      </c>
      <c r="B9112" s="3" t="s">
        <v>8008</v>
      </c>
      <c r="C9112" s="3" t="s">
        <v>8512</v>
      </c>
      <c r="D9112" s="4" t="str">
        <f t="shared" si="1010"/>
        <v>12Go Link</v>
      </c>
      <c r="E9112" s="3" t="s">
        <v>3197</v>
      </c>
      <c r="K9112" s="5"/>
    </row>
    <row r="9113">
      <c r="A9113" s="3" t="s">
        <v>8028</v>
      </c>
      <c r="B9113" s="3" t="s">
        <v>8035</v>
      </c>
      <c r="C9113" s="3" t="s">
        <v>8513</v>
      </c>
      <c r="D9113" s="4" t="str">
        <f t="shared" ref="D9113:D9116" si="1011">HYPERLINK("https://12go.asia/en/travel/Suvarnabhumi-Airport/Ayutthaya-Hotel-Transfer", "12Go Link")</f>
        <v>12Go Link</v>
      </c>
      <c r="E9113" s="3" t="s">
        <v>222</v>
      </c>
      <c r="K9113" s="5"/>
    </row>
    <row r="9114">
      <c r="A9114" s="3" t="s">
        <v>8028</v>
      </c>
      <c r="B9114" s="3" t="s">
        <v>8035</v>
      </c>
      <c r="C9114" s="3" t="s">
        <v>8513</v>
      </c>
      <c r="D9114" s="4" t="str">
        <f t="shared" si="1011"/>
        <v>12Go Link</v>
      </c>
      <c r="E9114" s="3" t="s">
        <v>223</v>
      </c>
      <c r="K9114" s="5"/>
    </row>
    <row r="9115">
      <c r="A9115" s="3" t="s">
        <v>8028</v>
      </c>
      <c r="B9115" s="3" t="s">
        <v>8035</v>
      </c>
      <c r="C9115" s="3" t="s">
        <v>8513</v>
      </c>
      <c r="D9115" s="4" t="str">
        <f t="shared" si="1011"/>
        <v>12Go Link</v>
      </c>
      <c r="E9115" s="3" t="s">
        <v>6599</v>
      </c>
      <c r="K9115" s="5"/>
    </row>
    <row r="9116">
      <c r="A9116" s="3" t="s">
        <v>8028</v>
      </c>
      <c r="B9116" s="3" t="s">
        <v>8035</v>
      </c>
      <c r="C9116" s="3" t="s">
        <v>8513</v>
      </c>
      <c r="D9116" s="4" t="str">
        <f t="shared" si="1011"/>
        <v>12Go Link</v>
      </c>
      <c r="E9116" s="3" t="s">
        <v>3197</v>
      </c>
      <c r="K9116" s="5"/>
    </row>
    <row r="9117">
      <c r="A9117" s="3" t="s">
        <v>8028</v>
      </c>
      <c r="B9117" s="3" t="s">
        <v>238</v>
      </c>
      <c r="C9117" s="3" t="s">
        <v>8514</v>
      </c>
      <c r="D9117" s="4" t="str">
        <f t="shared" ref="D9117:D9121" si="1012">HYPERLINK("https://12go.asia/en/travel/Suvarnabhumi-Airport/Bangkok-Hotel-Transfer", "12Go Link")</f>
        <v>12Go Link</v>
      </c>
      <c r="E9117" s="3" t="s">
        <v>222</v>
      </c>
      <c r="K9117" s="5"/>
    </row>
    <row r="9118">
      <c r="A9118" s="3" t="s">
        <v>8028</v>
      </c>
      <c r="B9118" s="3" t="s">
        <v>238</v>
      </c>
      <c r="C9118" s="3" t="s">
        <v>8514</v>
      </c>
      <c r="D9118" s="4" t="str">
        <f t="shared" si="1012"/>
        <v>12Go Link</v>
      </c>
      <c r="E9118" s="3" t="s">
        <v>223</v>
      </c>
      <c r="K9118" s="5"/>
    </row>
    <row r="9119">
      <c r="A9119" s="3" t="s">
        <v>8028</v>
      </c>
      <c r="B9119" s="3" t="s">
        <v>238</v>
      </c>
      <c r="C9119" s="3" t="s">
        <v>8514</v>
      </c>
      <c r="D9119" s="4" t="str">
        <f t="shared" si="1012"/>
        <v>12Go Link</v>
      </c>
      <c r="E9119" s="3" t="s">
        <v>6599</v>
      </c>
      <c r="K9119" s="5"/>
    </row>
    <row r="9120">
      <c r="A9120" s="3" t="s">
        <v>8028</v>
      </c>
      <c r="B9120" s="3" t="s">
        <v>238</v>
      </c>
      <c r="C9120" s="3" t="s">
        <v>8514</v>
      </c>
      <c r="D9120" s="4" t="str">
        <f t="shared" si="1012"/>
        <v>12Go Link</v>
      </c>
      <c r="E9120" s="3" t="s">
        <v>3197</v>
      </c>
      <c r="K9120" s="5"/>
    </row>
    <row r="9121">
      <c r="A9121" s="3" t="s">
        <v>8028</v>
      </c>
      <c r="B9121" s="3" t="s">
        <v>238</v>
      </c>
      <c r="C9121" s="3" t="s">
        <v>8514</v>
      </c>
      <c r="D9121" s="4" t="str">
        <f t="shared" si="1012"/>
        <v>12Go Link</v>
      </c>
      <c r="E9121" s="3" t="s">
        <v>8065</v>
      </c>
      <c r="K9121" s="5"/>
    </row>
    <row r="9122">
      <c r="A9122" s="3" t="s">
        <v>8028</v>
      </c>
      <c r="B9122" s="3" t="s">
        <v>238</v>
      </c>
      <c r="C9122" s="3" t="s">
        <v>8515</v>
      </c>
      <c r="D9122" s="4" t="str">
        <f t="shared" ref="D9122:D9125" si="1013">HYPERLINK("https://12go.asia/en/travel/Suvarnabhumi-Airport/Bangkok-Transfer", "12Go Link")</f>
        <v>12Go Link</v>
      </c>
      <c r="E9122" s="3" t="s">
        <v>222</v>
      </c>
      <c r="K9122" s="5"/>
    </row>
    <row r="9123">
      <c r="A9123" s="3" t="s">
        <v>8028</v>
      </c>
      <c r="B9123" s="3" t="s">
        <v>238</v>
      </c>
      <c r="C9123" s="3" t="s">
        <v>8515</v>
      </c>
      <c r="D9123" s="4" t="str">
        <f t="shared" si="1013"/>
        <v>12Go Link</v>
      </c>
      <c r="E9123" s="3" t="s">
        <v>223</v>
      </c>
      <c r="K9123" s="5"/>
    </row>
    <row r="9124">
      <c r="A9124" s="3" t="s">
        <v>8028</v>
      </c>
      <c r="B9124" s="3" t="s">
        <v>238</v>
      </c>
      <c r="C9124" s="3" t="s">
        <v>8515</v>
      </c>
      <c r="D9124" s="4" t="str">
        <f t="shared" si="1013"/>
        <v>12Go Link</v>
      </c>
      <c r="E9124" s="3" t="s">
        <v>6599</v>
      </c>
      <c r="K9124" s="5"/>
    </row>
    <row r="9125">
      <c r="A9125" s="3" t="s">
        <v>8028</v>
      </c>
      <c r="B9125" s="3" t="s">
        <v>238</v>
      </c>
      <c r="C9125" s="3" t="s">
        <v>8515</v>
      </c>
      <c r="D9125" s="4" t="str">
        <f t="shared" si="1013"/>
        <v>12Go Link</v>
      </c>
      <c r="E9125" s="3" t="s">
        <v>3197</v>
      </c>
      <c r="K9125" s="5"/>
    </row>
    <row r="9126">
      <c r="A9126" s="3" t="s">
        <v>8028</v>
      </c>
      <c r="B9126" s="3" t="s">
        <v>8044</v>
      </c>
      <c r="C9126" s="3" t="s">
        <v>8516</v>
      </c>
      <c r="D9126" s="4" t="str">
        <f t="shared" ref="D9126:D9129" si="1014">HYPERLINK("https://12go.asia/en/travel/Suvarnabhumi-Airport/Buriram-Hotel-Transfer", "12Go Link")</f>
        <v>12Go Link</v>
      </c>
      <c r="E9126" s="3" t="s">
        <v>222</v>
      </c>
      <c r="K9126" s="5"/>
    </row>
    <row r="9127">
      <c r="A9127" s="3" t="s">
        <v>8028</v>
      </c>
      <c r="B9127" s="3" t="s">
        <v>8044</v>
      </c>
      <c r="C9127" s="3" t="s">
        <v>8516</v>
      </c>
      <c r="D9127" s="4" t="str">
        <f t="shared" si="1014"/>
        <v>12Go Link</v>
      </c>
      <c r="E9127" s="3" t="s">
        <v>223</v>
      </c>
      <c r="K9127" s="5"/>
    </row>
    <row r="9128">
      <c r="A9128" s="3" t="s">
        <v>8028</v>
      </c>
      <c r="B9128" s="3" t="s">
        <v>8044</v>
      </c>
      <c r="C9128" s="3" t="s">
        <v>8516</v>
      </c>
      <c r="D9128" s="4" t="str">
        <f t="shared" si="1014"/>
        <v>12Go Link</v>
      </c>
      <c r="E9128" s="3" t="s">
        <v>6599</v>
      </c>
      <c r="K9128" s="5"/>
    </row>
    <row r="9129">
      <c r="A9129" s="3" t="s">
        <v>8028</v>
      </c>
      <c r="B9129" s="3" t="s">
        <v>8044</v>
      </c>
      <c r="C9129" s="3" t="s">
        <v>8516</v>
      </c>
      <c r="D9129" s="4" t="str">
        <f t="shared" si="1014"/>
        <v>12Go Link</v>
      </c>
      <c r="E9129" s="3" t="s">
        <v>3197</v>
      </c>
      <c r="K9129" s="5"/>
    </row>
    <row r="9130">
      <c r="A9130" s="3" t="s">
        <v>8028</v>
      </c>
      <c r="B9130" s="3" t="s">
        <v>343</v>
      </c>
      <c r="C9130" s="3" t="s">
        <v>8517</v>
      </c>
      <c r="D9130" s="4" t="str">
        <f t="shared" ref="D9130:D9133" si="1015">HYPERLINK("https://12go.asia/en/travel/Suvarnabhumi-Airport/Chanthaburi-Transfer", "12Go Link")</f>
        <v>12Go Link</v>
      </c>
      <c r="E9130" s="3" t="s">
        <v>222</v>
      </c>
      <c r="K9130" s="5"/>
    </row>
    <row r="9131">
      <c r="A9131" s="3" t="s">
        <v>8028</v>
      </c>
      <c r="B9131" s="3" t="s">
        <v>343</v>
      </c>
      <c r="C9131" s="3" t="s">
        <v>8517</v>
      </c>
      <c r="D9131" s="4" t="str">
        <f t="shared" si="1015"/>
        <v>12Go Link</v>
      </c>
      <c r="E9131" s="3" t="s">
        <v>223</v>
      </c>
      <c r="K9131" s="5"/>
    </row>
    <row r="9132">
      <c r="A9132" s="3" t="s">
        <v>8028</v>
      </c>
      <c r="B9132" s="3" t="s">
        <v>343</v>
      </c>
      <c r="C9132" s="3" t="s">
        <v>8517</v>
      </c>
      <c r="D9132" s="4" t="str">
        <f t="shared" si="1015"/>
        <v>12Go Link</v>
      </c>
      <c r="E9132" s="3" t="s">
        <v>6599</v>
      </c>
      <c r="K9132" s="5"/>
    </row>
    <row r="9133">
      <c r="A9133" s="3" t="s">
        <v>8028</v>
      </c>
      <c r="B9133" s="3" t="s">
        <v>343</v>
      </c>
      <c r="C9133" s="3" t="s">
        <v>8517</v>
      </c>
      <c r="D9133" s="4" t="str">
        <f t="shared" si="1015"/>
        <v>12Go Link</v>
      </c>
      <c r="E9133" s="3" t="s">
        <v>3197</v>
      </c>
      <c r="K9133" s="5"/>
    </row>
    <row r="9134">
      <c r="A9134" s="3" t="s">
        <v>8028</v>
      </c>
      <c r="B9134" s="3" t="s">
        <v>8047</v>
      </c>
      <c r="C9134" s="3" t="s">
        <v>8518</v>
      </c>
      <c r="D9134" s="4" t="str">
        <f t="shared" ref="D9134:D9137" si="1016">HYPERLINK("https://12go.asia/en/travel/Suvarnabhumi-Airport/Chiang-Mai-Town-Hotel-Transfer", "12Go Link")</f>
        <v>12Go Link</v>
      </c>
      <c r="E9134" s="3" t="s">
        <v>222</v>
      </c>
      <c r="K9134" s="5"/>
    </row>
    <row r="9135">
      <c r="A9135" s="3" t="s">
        <v>8028</v>
      </c>
      <c r="B9135" s="3" t="s">
        <v>8047</v>
      </c>
      <c r="C9135" s="3" t="s">
        <v>8518</v>
      </c>
      <c r="D9135" s="4" t="str">
        <f t="shared" si="1016"/>
        <v>12Go Link</v>
      </c>
      <c r="E9135" s="3" t="s">
        <v>223</v>
      </c>
      <c r="K9135" s="5"/>
    </row>
    <row r="9136">
      <c r="A9136" s="3" t="s">
        <v>8028</v>
      </c>
      <c r="B9136" s="3" t="s">
        <v>8047</v>
      </c>
      <c r="C9136" s="3" t="s">
        <v>8518</v>
      </c>
      <c r="D9136" s="4" t="str">
        <f t="shared" si="1016"/>
        <v>12Go Link</v>
      </c>
      <c r="E9136" s="3" t="s">
        <v>6599</v>
      </c>
      <c r="K9136" s="5"/>
    </row>
    <row r="9137">
      <c r="A9137" s="3" t="s">
        <v>8028</v>
      </c>
      <c r="B9137" s="3" t="s">
        <v>8047</v>
      </c>
      <c r="C9137" s="3" t="s">
        <v>8518</v>
      </c>
      <c r="D9137" s="4" t="str">
        <f t="shared" si="1016"/>
        <v>12Go Link</v>
      </c>
      <c r="E9137" s="3" t="s">
        <v>3197</v>
      </c>
      <c r="K9137" s="5"/>
    </row>
    <row r="9138">
      <c r="A9138" s="3" t="s">
        <v>8028</v>
      </c>
      <c r="B9138" s="3" t="s">
        <v>8049</v>
      </c>
      <c r="C9138" s="3" t="s">
        <v>8519</v>
      </c>
      <c r="D9138" s="4" t="str">
        <f t="shared" ref="D9138:D9141" si="1017">HYPERLINK("https://12go.asia/en/travel/Suvarnabhumi-Airport/Chiang-Rai-Hotel-Transfer", "12Go Link")</f>
        <v>12Go Link</v>
      </c>
      <c r="E9138" s="3" t="s">
        <v>222</v>
      </c>
      <c r="K9138" s="5"/>
    </row>
    <row r="9139">
      <c r="A9139" s="3" t="s">
        <v>8028</v>
      </c>
      <c r="B9139" s="3" t="s">
        <v>8049</v>
      </c>
      <c r="C9139" s="3" t="s">
        <v>8519</v>
      </c>
      <c r="D9139" s="4" t="str">
        <f t="shared" si="1017"/>
        <v>12Go Link</v>
      </c>
      <c r="E9139" s="3" t="s">
        <v>223</v>
      </c>
      <c r="K9139" s="5"/>
    </row>
    <row r="9140">
      <c r="A9140" s="3" t="s">
        <v>8028</v>
      </c>
      <c r="B9140" s="3" t="s">
        <v>8049</v>
      </c>
      <c r="C9140" s="3" t="s">
        <v>8519</v>
      </c>
      <c r="D9140" s="4" t="str">
        <f t="shared" si="1017"/>
        <v>12Go Link</v>
      </c>
      <c r="E9140" s="3" t="s">
        <v>6599</v>
      </c>
      <c r="K9140" s="5"/>
    </row>
    <row r="9141">
      <c r="A9141" s="3" t="s">
        <v>8028</v>
      </c>
      <c r="B9141" s="3" t="s">
        <v>8049</v>
      </c>
      <c r="C9141" s="3" t="s">
        <v>8519</v>
      </c>
      <c r="D9141" s="4" t="str">
        <f t="shared" si="1017"/>
        <v>12Go Link</v>
      </c>
      <c r="E9141" s="3" t="s">
        <v>3197</v>
      </c>
      <c r="K9141" s="5"/>
    </row>
    <row r="9142">
      <c r="A9142" s="3" t="s">
        <v>8028</v>
      </c>
      <c r="B9142" s="3" t="s">
        <v>8053</v>
      </c>
      <c r="C9142" s="3" t="s">
        <v>8520</v>
      </c>
      <c r="D9142" s="4" t="str">
        <f t="shared" ref="D9142:D9145" si="1018">HYPERLINK("https://12go.asia/en/travel/Suvarnabhumi-Airport/Chumphon-Hotel-Transfer", "12Go Link")</f>
        <v>12Go Link</v>
      </c>
      <c r="E9142" s="3" t="s">
        <v>222</v>
      </c>
      <c r="K9142" s="5"/>
    </row>
    <row r="9143">
      <c r="A9143" s="3" t="s">
        <v>8028</v>
      </c>
      <c r="B9143" s="3" t="s">
        <v>8053</v>
      </c>
      <c r="C9143" s="3" t="s">
        <v>8520</v>
      </c>
      <c r="D9143" s="4" t="str">
        <f t="shared" si="1018"/>
        <v>12Go Link</v>
      </c>
      <c r="E9143" s="3" t="s">
        <v>223</v>
      </c>
      <c r="K9143" s="5"/>
    </row>
    <row r="9144">
      <c r="A9144" s="3" t="s">
        <v>8028</v>
      </c>
      <c r="B9144" s="3" t="s">
        <v>8053</v>
      </c>
      <c r="C9144" s="3" t="s">
        <v>8520</v>
      </c>
      <c r="D9144" s="4" t="str">
        <f t="shared" si="1018"/>
        <v>12Go Link</v>
      </c>
      <c r="E9144" s="3" t="s">
        <v>6599</v>
      </c>
      <c r="K9144" s="5"/>
    </row>
    <row r="9145">
      <c r="A9145" s="3" t="s">
        <v>8028</v>
      </c>
      <c r="B9145" s="3" t="s">
        <v>8053</v>
      </c>
      <c r="C9145" s="3" t="s">
        <v>8520</v>
      </c>
      <c r="D9145" s="4" t="str">
        <f t="shared" si="1018"/>
        <v>12Go Link</v>
      </c>
      <c r="E9145" s="3" t="s">
        <v>3197</v>
      </c>
      <c r="K9145" s="5"/>
    </row>
    <row r="9146">
      <c r="A9146" s="3" t="s">
        <v>8028</v>
      </c>
      <c r="B9146" s="3" t="s">
        <v>8056</v>
      </c>
      <c r="C9146" s="3" t="s">
        <v>8521</v>
      </c>
      <c r="D9146" s="4" t="str">
        <f t="shared" ref="D9146:D9149" si="1019">HYPERLINK("https://12go.asia/en/travel/Suvarnabhumi-Airport/Hua-Hin-Hotel-Transfer", "12Go Link")</f>
        <v>12Go Link</v>
      </c>
      <c r="E9146" s="3" t="s">
        <v>222</v>
      </c>
      <c r="K9146" s="5"/>
    </row>
    <row r="9147">
      <c r="A9147" s="3" t="s">
        <v>8028</v>
      </c>
      <c r="B9147" s="3" t="s">
        <v>8056</v>
      </c>
      <c r="C9147" s="3" t="s">
        <v>8521</v>
      </c>
      <c r="D9147" s="4" t="str">
        <f t="shared" si="1019"/>
        <v>12Go Link</v>
      </c>
      <c r="E9147" s="3" t="s">
        <v>223</v>
      </c>
      <c r="K9147" s="5"/>
    </row>
    <row r="9148">
      <c r="A9148" s="3" t="s">
        <v>8028</v>
      </c>
      <c r="B9148" s="3" t="s">
        <v>8056</v>
      </c>
      <c r="C9148" s="3" t="s">
        <v>8521</v>
      </c>
      <c r="D9148" s="4" t="str">
        <f t="shared" si="1019"/>
        <v>12Go Link</v>
      </c>
      <c r="E9148" s="3" t="s">
        <v>6599</v>
      </c>
      <c r="K9148" s="5"/>
    </row>
    <row r="9149">
      <c r="A9149" s="3" t="s">
        <v>8028</v>
      </c>
      <c r="B9149" s="3" t="s">
        <v>8056</v>
      </c>
      <c r="C9149" s="3" t="s">
        <v>8521</v>
      </c>
      <c r="D9149" s="4" t="str">
        <f t="shared" si="1019"/>
        <v>12Go Link</v>
      </c>
      <c r="E9149" s="3" t="s">
        <v>3197</v>
      </c>
      <c r="K9149" s="5"/>
    </row>
    <row r="9150">
      <c r="A9150" s="3" t="s">
        <v>8028</v>
      </c>
      <c r="B9150" s="3" t="s">
        <v>8058</v>
      </c>
      <c r="C9150" s="3" t="s">
        <v>8522</v>
      </c>
      <c r="D9150" s="4" t="str">
        <f t="shared" ref="D9150:D9153" si="1020">HYPERLINK("https://12go.asia/en/travel/Suvarnabhumi-Airport/Kanchanaburi-Hotel-Transfer", "12Go Link")</f>
        <v>12Go Link</v>
      </c>
      <c r="E9150" s="3" t="s">
        <v>222</v>
      </c>
      <c r="K9150" s="5"/>
    </row>
    <row r="9151">
      <c r="A9151" s="3" t="s">
        <v>8028</v>
      </c>
      <c r="B9151" s="3" t="s">
        <v>8058</v>
      </c>
      <c r="C9151" s="3" t="s">
        <v>8522</v>
      </c>
      <c r="D9151" s="4" t="str">
        <f t="shared" si="1020"/>
        <v>12Go Link</v>
      </c>
      <c r="E9151" s="3" t="s">
        <v>223</v>
      </c>
      <c r="K9151" s="5"/>
    </row>
    <row r="9152">
      <c r="A9152" s="3" t="s">
        <v>8028</v>
      </c>
      <c r="B9152" s="3" t="s">
        <v>8058</v>
      </c>
      <c r="C9152" s="3" t="s">
        <v>8522</v>
      </c>
      <c r="D9152" s="4" t="str">
        <f t="shared" si="1020"/>
        <v>12Go Link</v>
      </c>
      <c r="E9152" s="3" t="s">
        <v>6599</v>
      </c>
      <c r="K9152" s="5"/>
    </row>
    <row r="9153">
      <c r="A9153" s="3" t="s">
        <v>8028</v>
      </c>
      <c r="B9153" s="3" t="s">
        <v>8058</v>
      </c>
      <c r="C9153" s="3" t="s">
        <v>8522</v>
      </c>
      <c r="D9153" s="4" t="str">
        <f t="shared" si="1020"/>
        <v>12Go Link</v>
      </c>
      <c r="E9153" s="3" t="s">
        <v>3197</v>
      </c>
      <c r="K9153" s="5"/>
    </row>
    <row r="9154">
      <c r="A9154" s="3" t="s">
        <v>8028</v>
      </c>
      <c r="B9154" s="3" t="s">
        <v>8060</v>
      </c>
      <c r="C9154" s="3" t="s">
        <v>8523</v>
      </c>
      <c r="D9154" s="4" t="str">
        <f t="shared" ref="D9154:D9157" si="1021">HYPERLINK("https://12go.asia/en/travel/Suvarnabhumi-Airport/Khao-Yai-National-Park", "12Go Link")</f>
        <v>12Go Link</v>
      </c>
      <c r="E9154" s="3" t="s">
        <v>222</v>
      </c>
      <c r="K9154" s="5"/>
    </row>
    <row r="9155">
      <c r="A9155" s="3" t="s">
        <v>8028</v>
      </c>
      <c r="B9155" s="3" t="s">
        <v>8060</v>
      </c>
      <c r="C9155" s="3" t="s">
        <v>8523</v>
      </c>
      <c r="D9155" s="4" t="str">
        <f t="shared" si="1021"/>
        <v>12Go Link</v>
      </c>
      <c r="E9155" s="3" t="s">
        <v>223</v>
      </c>
      <c r="K9155" s="5"/>
    </row>
    <row r="9156">
      <c r="A9156" s="3" t="s">
        <v>8028</v>
      </c>
      <c r="B9156" s="3" t="s">
        <v>8060</v>
      </c>
      <c r="C9156" s="3" t="s">
        <v>8523</v>
      </c>
      <c r="D9156" s="4" t="str">
        <f t="shared" si="1021"/>
        <v>12Go Link</v>
      </c>
      <c r="E9156" s="3" t="s">
        <v>6599</v>
      </c>
      <c r="K9156" s="5"/>
    </row>
    <row r="9157">
      <c r="A9157" s="3" t="s">
        <v>8028</v>
      </c>
      <c r="B9157" s="3" t="s">
        <v>8060</v>
      </c>
      <c r="C9157" s="3" t="s">
        <v>8523</v>
      </c>
      <c r="D9157" s="4" t="str">
        <f t="shared" si="1021"/>
        <v>12Go Link</v>
      </c>
      <c r="E9157" s="3" t="s">
        <v>3197</v>
      </c>
      <c r="K9157" s="5"/>
    </row>
    <row r="9158">
      <c r="A9158" s="3" t="s">
        <v>8028</v>
      </c>
      <c r="B9158" s="3" t="s">
        <v>7383</v>
      </c>
      <c r="C9158" s="3" t="s">
        <v>8524</v>
      </c>
      <c r="D9158" s="4" t="str">
        <f t="shared" ref="D9158:D9161" si="1022">HYPERLINK("https://12go.asia/en/travel/Suvarnabhumi-Airport/Khon-Kaen-Hotel-Transfer", "12Go Link")</f>
        <v>12Go Link</v>
      </c>
      <c r="E9158" s="3" t="s">
        <v>222</v>
      </c>
      <c r="K9158" s="5"/>
    </row>
    <row r="9159">
      <c r="A9159" s="3" t="s">
        <v>8028</v>
      </c>
      <c r="B9159" s="3" t="s">
        <v>7383</v>
      </c>
      <c r="C9159" s="3" t="s">
        <v>8524</v>
      </c>
      <c r="D9159" s="4" t="str">
        <f t="shared" si="1022"/>
        <v>12Go Link</v>
      </c>
      <c r="E9159" s="3" t="s">
        <v>223</v>
      </c>
      <c r="K9159" s="5"/>
    </row>
    <row r="9160">
      <c r="A9160" s="3" t="s">
        <v>8028</v>
      </c>
      <c r="B9160" s="3" t="s">
        <v>7383</v>
      </c>
      <c r="C9160" s="3" t="s">
        <v>8524</v>
      </c>
      <c r="D9160" s="4" t="str">
        <f t="shared" si="1022"/>
        <v>12Go Link</v>
      </c>
      <c r="E9160" s="3" t="s">
        <v>6599</v>
      </c>
      <c r="K9160" s="5"/>
    </row>
    <row r="9161">
      <c r="A9161" s="3" t="s">
        <v>8028</v>
      </c>
      <c r="B9161" s="3" t="s">
        <v>7383</v>
      </c>
      <c r="C9161" s="3" t="s">
        <v>8524</v>
      </c>
      <c r="D9161" s="4" t="str">
        <f t="shared" si="1022"/>
        <v>12Go Link</v>
      </c>
      <c r="E9161" s="3" t="s">
        <v>3197</v>
      </c>
      <c r="K9161" s="5"/>
    </row>
    <row r="9162">
      <c r="A9162" s="3" t="s">
        <v>8028</v>
      </c>
      <c r="B9162" s="3" t="s">
        <v>8018</v>
      </c>
      <c r="C9162" s="3" t="s">
        <v>8525</v>
      </c>
      <c r="D9162" s="4" t="str">
        <f t="shared" ref="D9162:D9165" si="1023">HYPERLINK("https://12go.asia/en/travel/Suvarnabhumi-Airport/Krabi-Town-Transfer", "12Go Link")</f>
        <v>12Go Link</v>
      </c>
      <c r="E9162" s="3" t="s">
        <v>222</v>
      </c>
      <c r="K9162" s="5"/>
    </row>
    <row r="9163">
      <c r="A9163" s="3" t="s">
        <v>8028</v>
      </c>
      <c r="B9163" s="3" t="s">
        <v>8018</v>
      </c>
      <c r="C9163" s="3" t="s">
        <v>8525</v>
      </c>
      <c r="D9163" s="4" t="str">
        <f t="shared" si="1023"/>
        <v>12Go Link</v>
      </c>
      <c r="E9163" s="3" t="s">
        <v>223</v>
      </c>
      <c r="K9163" s="5"/>
    </row>
    <row r="9164">
      <c r="A9164" s="3" t="s">
        <v>8028</v>
      </c>
      <c r="B9164" s="3" t="s">
        <v>8018</v>
      </c>
      <c r="C9164" s="3" t="s">
        <v>8525</v>
      </c>
      <c r="D9164" s="4" t="str">
        <f t="shared" si="1023"/>
        <v>12Go Link</v>
      </c>
      <c r="E9164" s="3" t="s">
        <v>6599</v>
      </c>
      <c r="K9164" s="5"/>
    </row>
    <row r="9165">
      <c r="A9165" s="3" t="s">
        <v>8028</v>
      </c>
      <c r="B9165" s="3" t="s">
        <v>8018</v>
      </c>
      <c r="C9165" s="3" t="s">
        <v>8525</v>
      </c>
      <c r="D9165" s="4" t="str">
        <f t="shared" si="1023"/>
        <v>12Go Link</v>
      </c>
      <c r="E9165" s="3" t="s">
        <v>3197</v>
      </c>
      <c r="K9165" s="5"/>
    </row>
    <row r="9166">
      <c r="A9166" s="3" t="s">
        <v>8028</v>
      </c>
      <c r="B9166" s="3" t="s">
        <v>8075</v>
      </c>
      <c r="C9166" s="3" t="s">
        <v>8526</v>
      </c>
      <c r="D9166" s="4" t="str">
        <f t="shared" ref="D9166:D9169" si="1024">HYPERLINK("https://12go.asia/en/travel/Suvarnabhumi-Airport/Mae-Sot-Transfer", "12Go Link")</f>
        <v>12Go Link</v>
      </c>
      <c r="E9166" s="3" t="s">
        <v>222</v>
      </c>
      <c r="K9166" s="5"/>
    </row>
    <row r="9167">
      <c r="A9167" s="3" t="s">
        <v>8028</v>
      </c>
      <c r="B9167" s="3" t="s">
        <v>8075</v>
      </c>
      <c r="C9167" s="3" t="s">
        <v>8526</v>
      </c>
      <c r="D9167" s="4" t="str">
        <f t="shared" si="1024"/>
        <v>12Go Link</v>
      </c>
      <c r="E9167" s="3" t="s">
        <v>223</v>
      </c>
      <c r="K9167" s="5"/>
    </row>
    <row r="9168">
      <c r="A9168" s="3" t="s">
        <v>8028</v>
      </c>
      <c r="B9168" s="3" t="s">
        <v>8075</v>
      </c>
      <c r="C9168" s="3" t="s">
        <v>8526</v>
      </c>
      <c r="D9168" s="4" t="str">
        <f t="shared" si="1024"/>
        <v>12Go Link</v>
      </c>
      <c r="E9168" s="3" t="s">
        <v>6599</v>
      </c>
      <c r="K9168" s="5"/>
    </row>
    <row r="9169">
      <c r="A9169" s="3" t="s">
        <v>8028</v>
      </c>
      <c r="B9169" s="3" t="s">
        <v>8075</v>
      </c>
      <c r="C9169" s="3" t="s">
        <v>8526</v>
      </c>
      <c r="D9169" s="4" t="str">
        <f t="shared" si="1024"/>
        <v>12Go Link</v>
      </c>
      <c r="E9169" s="3" t="s">
        <v>3197</v>
      </c>
      <c r="K9169" s="5"/>
    </row>
    <row r="9170">
      <c r="A9170" s="3" t="s">
        <v>8028</v>
      </c>
      <c r="B9170" s="3" t="s">
        <v>8077</v>
      </c>
      <c r="C9170" s="3" t="s">
        <v>8527</v>
      </c>
      <c r="D9170" s="4" t="str">
        <f t="shared" ref="D9170:D9173" si="1025">HYPERLINK("https://12go.asia/en/travel/Suvarnabhumi-Airport/Nakhon-Ratchasima", "12Go Link")</f>
        <v>12Go Link</v>
      </c>
      <c r="E9170" s="3" t="s">
        <v>222</v>
      </c>
      <c r="K9170" s="5"/>
    </row>
    <row r="9171">
      <c r="A9171" s="3" t="s">
        <v>8028</v>
      </c>
      <c r="B9171" s="3" t="s">
        <v>8077</v>
      </c>
      <c r="C9171" s="3" t="s">
        <v>8527</v>
      </c>
      <c r="D9171" s="4" t="str">
        <f t="shared" si="1025"/>
        <v>12Go Link</v>
      </c>
      <c r="E9171" s="3" t="s">
        <v>223</v>
      </c>
      <c r="K9171" s="5"/>
    </row>
    <row r="9172">
      <c r="A9172" s="3" t="s">
        <v>8028</v>
      </c>
      <c r="B9172" s="3" t="s">
        <v>8077</v>
      </c>
      <c r="C9172" s="3" t="s">
        <v>8527</v>
      </c>
      <c r="D9172" s="4" t="str">
        <f t="shared" si="1025"/>
        <v>12Go Link</v>
      </c>
      <c r="E9172" s="3" t="s">
        <v>6599</v>
      </c>
      <c r="K9172" s="5"/>
    </row>
    <row r="9173">
      <c r="A9173" s="3" t="s">
        <v>8028</v>
      </c>
      <c r="B9173" s="3" t="s">
        <v>8077</v>
      </c>
      <c r="C9173" s="3" t="s">
        <v>8527</v>
      </c>
      <c r="D9173" s="4" t="str">
        <f t="shared" si="1025"/>
        <v>12Go Link</v>
      </c>
      <c r="E9173" s="3" t="s">
        <v>3197</v>
      </c>
      <c r="K9173" s="5"/>
    </row>
    <row r="9174">
      <c r="A9174" s="3" t="s">
        <v>8028</v>
      </c>
      <c r="B9174" s="3" t="s">
        <v>8080</v>
      </c>
      <c r="C9174" s="3" t="s">
        <v>8528</v>
      </c>
      <c r="D9174" s="4" t="str">
        <f t="shared" ref="D9174:D9177" si="1026">HYPERLINK("https://12go.asia/en/travel/Suvarnabhumi-Airport/Pai", "12Go Link")</f>
        <v>12Go Link</v>
      </c>
      <c r="E9174" s="3" t="s">
        <v>222</v>
      </c>
      <c r="K9174" s="5"/>
    </row>
    <row r="9175">
      <c r="A9175" s="3" t="s">
        <v>8028</v>
      </c>
      <c r="B9175" s="3" t="s">
        <v>8080</v>
      </c>
      <c r="C9175" s="3" t="s">
        <v>8528</v>
      </c>
      <c r="D9175" s="4" t="str">
        <f t="shared" si="1026"/>
        <v>12Go Link</v>
      </c>
      <c r="E9175" s="3" t="s">
        <v>223</v>
      </c>
      <c r="K9175" s="5"/>
    </row>
    <row r="9176">
      <c r="A9176" s="3" t="s">
        <v>8028</v>
      </c>
      <c r="B9176" s="3" t="s">
        <v>8080</v>
      </c>
      <c r="C9176" s="3" t="s">
        <v>8528</v>
      </c>
      <c r="D9176" s="4" t="str">
        <f t="shared" si="1026"/>
        <v>12Go Link</v>
      </c>
      <c r="E9176" s="3" t="s">
        <v>6599</v>
      </c>
      <c r="K9176" s="5"/>
    </row>
    <row r="9177">
      <c r="A9177" s="3" t="s">
        <v>8028</v>
      </c>
      <c r="B9177" s="3" t="s">
        <v>8080</v>
      </c>
      <c r="C9177" s="3" t="s">
        <v>8528</v>
      </c>
      <c r="D9177" s="4" t="str">
        <f t="shared" si="1026"/>
        <v>12Go Link</v>
      </c>
      <c r="E9177" s="3" t="s">
        <v>3197</v>
      </c>
      <c r="K9177" s="5"/>
    </row>
    <row r="9178">
      <c r="A9178" s="3" t="s">
        <v>8028</v>
      </c>
      <c r="B9178" s="3" t="s">
        <v>358</v>
      </c>
      <c r="C9178" s="3" t="s">
        <v>8529</v>
      </c>
      <c r="D9178" s="4" t="str">
        <f t="shared" ref="D9178:D9181" si="1027">HYPERLINK("https://12go.asia/en/travel/Suvarnabhumi-Airport/Pattaya-Hotel-Transfer", "12Go Link")</f>
        <v>12Go Link</v>
      </c>
      <c r="E9178" s="3" t="s">
        <v>222</v>
      </c>
      <c r="K9178" s="5"/>
    </row>
    <row r="9179">
      <c r="A9179" s="3" t="s">
        <v>8028</v>
      </c>
      <c r="B9179" s="3" t="s">
        <v>358</v>
      </c>
      <c r="C9179" s="3" t="s">
        <v>8529</v>
      </c>
      <c r="D9179" s="4" t="str">
        <f t="shared" si="1027"/>
        <v>12Go Link</v>
      </c>
      <c r="E9179" s="3" t="s">
        <v>223</v>
      </c>
      <c r="K9179" s="5"/>
    </row>
    <row r="9180">
      <c r="A9180" s="3" t="s">
        <v>8028</v>
      </c>
      <c r="B9180" s="3" t="s">
        <v>358</v>
      </c>
      <c r="C9180" s="3" t="s">
        <v>8529</v>
      </c>
      <c r="D9180" s="4" t="str">
        <f t="shared" si="1027"/>
        <v>12Go Link</v>
      </c>
      <c r="E9180" s="3" t="s">
        <v>6599</v>
      </c>
      <c r="K9180" s="5"/>
    </row>
    <row r="9181">
      <c r="A9181" s="3" t="s">
        <v>8028</v>
      </c>
      <c r="B9181" s="3" t="s">
        <v>358</v>
      </c>
      <c r="C9181" s="3" t="s">
        <v>8529</v>
      </c>
      <c r="D9181" s="4" t="str">
        <f t="shared" si="1027"/>
        <v>12Go Link</v>
      </c>
      <c r="E9181" s="3" t="s">
        <v>3197</v>
      </c>
      <c r="K9181" s="5"/>
    </row>
    <row r="9182">
      <c r="A9182" s="3" t="s">
        <v>8028</v>
      </c>
      <c r="B9182" s="3" t="s">
        <v>8083</v>
      </c>
      <c r="C9182" s="3" t="s">
        <v>8530</v>
      </c>
      <c r="D9182" s="4" t="str">
        <f t="shared" ref="D9182:D9185" si="1028">HYPERLINK("https://12go.asia/en/travel/Suvarnabhumi-Airport/Phang-Nga-Hotel-Transfer", "12Go Link")</f>
        <v>12Go Link</v>
      </c>
      <c r="E9182" s="3" t="s">
        <v>222</v>
      </c>
      <c r="K9182" s="5"/>
    </row>
    <row r="9183">
      <c r="A9183" s="3" t="s">
        <v>8028</v>
      </c>
      <c r="B9183" s="3" t="s">
        <v>8083</v>
      </c>
      <c r="C9183" s="3" t="s">
        <v>8530</v>
      </c>
      <c r="D9183" s="4" t="str">
        <f t="shared" si="1028"/>
        <v>12Go Link</v>
      </c>
      <c r="E9183" s="3" t="s">
        <v>223</v>
      </c>
      <c r="K9183" s="5"/>
    </row>
    <row r="9184">
      <c r="A9184" s="3" t="s">
        <v>8028</v>
      </c>
      <c r="B9184" s="3" t="s">
        <v>8083</v>
      </c>
      <c r="C9184" s="3" t="s">
        <v>8530</v>
      </c>
      <c r="D9184" s="4" t="str">
        <f t="shared" si="1028"/>
        <v>12Go Link</v>
      </c>
      <c r="E9184" s="3" t="s">
        <v>6599</v>
      </c>
      <c r="K9184" s="5"/>
    </row>
    <row r="9185">
      <c r="A9185" s="3" t="s">
        <v>8028</v>
      </c>
      <c r="B9185" s="3" t="s">
        <v>8083</v>
      </c>
      <c r="C9185" s="3" t="s">
        <v>8530</v>
      </c>
      <c r="D9185" s="4" t="str">
        <f t="shared" si="1028"/>
        <v>12Go Link</v>
      </c>
      <c r="E9185" s="3" t="s">
        <v>3197</v>
      </c>
      <c r="K9185" s="5"/>
    </row>
    <row r="9186">
      <c r="A9186" s="3" t="s">
        <v>8028</v>
      </c>
      <c r="B9186" s="3" t="s">
        <v>8085</v>
      </c>
      <c r="C9186" s="3" t="s">
        <v>8531</v>
      </c>
      <c r="D9186" s="4" t="str">
        <f t="shared" ref="D9186:D9189" si="1029">HYPERLINK("https://12go.asia/en/travel/Suvarnabhumi-Airport/Cha-Am", "12Go Link")</f>
        <v>12Go Link</v>
      </c>
      <c r="E9186" s="3" t="s">
        <v>222</v>
      </c>
      <c r="K9186" s="5"/>
    </row>
    <row r="9187">
      <c r="A9187" s="3" t="s">
        <v>8028</v>
      </c>
      <c r="B9187" s="3" t="s">
        <v>8085</v>
      </c>
      <c r="C9187" s="3" t="s">
        <v>8531</v>
      </c>
      <c r="D9187" s="4" t="str">
        <f t="shared" si="1029"/>
        <v>12Go Link</v>
      </c>
      <c r="E9187" s="3" t="s">
        <v>223</v>
      </c>
      <c r="K9187" s="5"/>
    </row>
    <row r="9188">
      <c r="A9188" s="3" t="s">
        <v>8028</v>
      </c>
      <c r="B9188" s="3" t="s">
        <v>8085</v>
      </c>
      <c r="C9188" s="3" t="s">
        <v>8531</v>
      </c>
      <c r="D9188" s="4" t="str">
        <f t="shared" si="1029"/>
        <v>12Go Link</v>
      </c>
      <c r="E9188" s="3" t="s">
        <v>6599</v>
      </c>
      <c r="K9188" s="5"/>
    </row>
    <row r="9189">
      <c r="A9189" s="3" t="s">
        <v>8028</v>
      </c>
      <c r="B9189" s="3" t="s">
        <v>8085</v>
      </c>
      <c r="C9189" s="3" t="s">
        <v>8531</v>
      </c>
      <c r="D9189" s="4" t="str">
        <f t="shared" si="1029"/>
        <v>12Go Link</v>
      </c>
      <c r="E9189" s="3" t="s">
        <v>3197</v>
      </c>
      <c r="K9189" s="5"/>
    </row>
    <row r="9190">
      <c r="A9190" s="3" t="s">
        <v>8028</v>
      </c>
      <c r="B9190" s="3" t="s">
        <v>8020</v>
      </c>
      <c r="C9190" s="3" t="s">
        <v>8532</v>
      </c>
      <c r="D9190" s="4" t="str">
        <f t="shared" ref="D9190:D9193" si="1030">HYPERLINK("https://12go.asia/en/travel/Suvarnabhumi-Airport/Phuket-Hotel-Transfer", "12Go Link")</f>
        <v>12Go Link</v>
      </c>
      <c r="E9190" s="3" t="s">
        <v>222</v>
      </c>
      <c r="K9190" s="5"/>
    </row>
    <row r="9191">
      <c r="A9191" s="3" t="s">
        <v>8028</v>
      </c>
      <c r="B9191" s="3" t="s">
        <v>8020</v>
      </c>
      <c r="C9191" s="3" t="s">
        <v>8532</v>
      </c>
      <c r="D9191" s="4" t="str">
        <f t="shared" si="1030"/>
        <v>12Go Link</v>
      </c>
      <c r="E9191" s="3" t="s">
        <v>223</v>
      </c>
      <c r="K9191" s="5"/>
    </row>
    <row r="9192">
      <c r="A9192" s="3" t="s">
        <v>8028</v>
      </c>
      <c r="B9192" s="3" t="s">
        <v>8020</v>
      </c>
      <c r="C9192" s="3" t="s">
        <v>8532</v>
      </c>
      <c r="D9192" s="4" t="str">
        <f t="shared" si="1030"/>
        <v>12Go Link</v>
      </c>
      <c r="E9192" s="3" t="s">
        <v>6599</v>
      </c>
      <c r="K9192" s="5"/>
    </row>
    <row r="9193">
      <c r="A9193" s="3" t="s">
        <v>8028</v>
      </c>
      <c r="B9193" s="3" t="s">
        <v>8020</v>
      </c>
      <c r="C9193" s="3" t="s">
        <v>8532</v>
      </c>
      <c r="D9193" s="4" t="str">
        <f t="shared" si="1030"/>
        <v>12Go Link</v>
      </c>
      <c r="E9193" s="3" t="s">
        <v>3197</v>
      </c>
      <c r="K9193" s="5"/>
    </row>
    <row r="9194">
      <c r="A9194" s="3" t="s">
        <v>8028</v>
      </c>
      <c r="B9194" s="3" t="s">
        <v>284</v>
      </c>
      <c r="C9194" s="3" t="s">
        <v>8533</v>
      </c>
      <c r="D9194" s="4" t="str">
        <f t="shared" ref="D9194:D9197" si="1031">HYPERLINK("https://12go.asia/en/travel/Suvarnabhumi-Airport/Ao-Thammachat-pier", "12Go Link")</f>
        <v>12Go Link</v>
      </c>
      <c r="E9194" s="3" t="s">
        <v>222</v>
      </c>
      <c r="K9194" s="5"/>
    </row>
    <row r="9195">
      <c r="A9195" s="3" t="s">
        <v>8028</v>
      </c>
      <c r="B9195" s="3" t="s">
        <v>284</v>
      </c>
      <c r="C9195" s="3" t="s">
        <v>8533</v>
      </c>
      <c r="D9195" s="4" t="str">
        <f t="shared" si="1031"/>
        <v>12Go Link</v>
      </c>
      <c r="E9195" s="3" t="s">
        <v>223</v>
      </c>
      <c r="K9195" s="5"/>
    </row>
    <row r="9196">
      <c r="A9196" s="3" t="s">
        <v>8028</v>
      </c>
      <c r="B9196" s="3" t="s">
        <v>284</v>
      </c>
      <c r="C9196" s="3" t="s">
        <v>8533</v>
      </c>
      <c r="D9196" s="4" t="str">
        <f t="shared" si="1031"/>
        <v>12Go Link</v>
      </c>
      <c r="E9196" s="3" t="s">
        <v>6599</v>
      </c>
      <c r="K9196" s="5"/>
    </row>
    <row r="9197">
      <c r="A9197" s="3" t="s">
        <v>8028</v>
      </c>
      <c r="B9197" s="3" t="s">
        <v>284</v>
      </c>
      <c r="C9197" s="3" t="s">
        <v>8533</v>
      </c>
      <c r="D9197" s="4" t="str">
        <f t="shared" si="1031"/>
        <v>12Go Link</v>
      </c>
      <c r="E9197" s="3" t="s">
        <v>3197</v>
      </c>
      <c r="K9197" s="5"/>
    </row>
    <row r="9198">
      <c r="A9198" s="3" t="s">
        <v>8028</v>
      </c>
      <c r="B9198" s="3" t="s">
        <v>284</v>
      </c>
      <c r="C9198" s="3" t="s">
        <v>8534</v>
      </c>
      <c r="D9198" s="4" t="str">
        <f t="shared" ref="D9198:D9201" si="1032">HYPERLINK("https://12go.asia/en/travel/Suvarnabhumi-Airport/Laem-Sok-Pier", "12Go Link")</f>
        <v>12Go Link</v>
      </c>
      <c r="E9198" s="3" t="s">
        <v>222</v>
      </c>
      <c r="K9198" s="5"/>
    </row>
    <row r="9199">
      <c r="A9199" s="3" t="s">
        <v>8028</v>
      </c>
      <c r="B9199" s="3" t="s">
        <v>284</v>
      </c>
      <c r="C9199" s="3" t="s">
        <v>8534</v>
      </c>
      <c r="D9199" s="4" t="str">
        <f t="shared" si="1032"/>
        <v>12Go Link</v>
      </c>
      <c r="E9199" s="3" t="s">
        <v>223</v>
      </c>
      <c r="K9199" s="5"/>
    </row>
    <row r="9200">
      <c r="A9200" s="3" t="s">
        <v>8028</v>
      </c>
      <c r="B9200" s="3" t="s">
        <v>284</v>
      </c>
      <c r="C9200" s="3" t="s">
        <v>8534</v>
      </c>
      <c r="D9200" s="4" t="str">
        <f t="shared" si="1032"/>
        <v>12Go Link</v>
      </c>
      <c r="E9200" s="3" t="s">
        <v>6599</v>
      </c>
      <c r="K9200" s="5"/>
    </row>
    <row r="9201">
      <c r="A9201" s="3" t="s">
        <v>8028</v>
      </c>
      <c r="B9201" s="3" t="s">
        <v>284</v>
      </c>
      <c r="C9201" s="3" t="s">
        <v>8534</v>
      </c>
      <c r="D9201" s="4" t="str">
        <f t="shared" si="1032"/>
        <v>12Go Link</v>
      </c>
      <c r="E9201" s="3" t="s">
        <v>3197</v>
      </c>
      <c r="K9201" s="5"/>
    </row>
    <row r="9202">
      <c r="A9202" s="3" t="s">
        <v>8028</v>
      </c>
      <c r="B9202" s="3" t="s">
        <v>7393</v>
      </c>
      <c r="C9202" s="3" t="s">
        <v>8535</v>
      </c>
      <c r="D9202" s="4" t="str">
        <f t="shared" ref="D9202:D9205" si="1033">HYPERLINK("https://12go.asia/en/travel/Suvarnabhumi-Airport/Udon-Thani-Transfer", "12Go Link")</f>
        <v>12Go Link</v>
      </c>
      <c r="E9202" s="3" t="s">
        <v>222</v>
      </c>
      <c r="K9202" s="5"/>
    </row>
    <row r="9203">
      <c r="A9203" s="3" t="s">
        <v>8028</v>
      </c>
      <c r="B9203" s="3" t="s">
        <v>7393</v>
      </c>
      <c r="C9203" s="3" t="s">
        <v>8535</v>
      </c>
      <c r="D9203" s="4" t="str">
        <f t="shared" si="1033"/>
        <v>12Go Link</v>
      </c>
      <c r="E9203" s="3" t="s">
        <v>223</v>
      </c>
      <c r="K9203" s="5"/>
    </row>
    <row r="9204">
      <c r="A9204" s="3" t="s">
        <v>8028</v>
      </c>
      <c r="B9204" s="3" t="s">
        <v>7393</v>
      </c>
      <c r="C9204" s="3" t="s">
        <v>8535</v>
      </c>
      <c r="D9204" s="4" t="str">
        <f t="shared" si="1033"/>
        <v>12Go Link</v>
      </c>
      <c r="E9204" s="3" t="s">
        <v>6599</v>
      </c>
      <c r="K9204" s="5"/>
    </row>
    <row r="9205">
      <c r="A9205" s="3" t="s">
        <v>8028</v>
      </c>
      <c r="B9205" s="3" t="s">
        <v>7393</v>
      </c>
      <c r="C9205" s="3" t="s">
        <v>8535</v>
      </c>
      <c r="D9205" s="4" t="str">
        <f t="shared" si="1033"/>
        <v>12Go Link</v>
      </c>
      <c r="E9205" s="3" t="s">
        <v>3197</v>
      </c>
      <c r="K9205" s="5"/>
    </row>
    <row r="9206">
      <c r="A9206" s="3" t="s">
        <v>8287</v>
      </c>
      <c r="B9206" s="3" t="s">
        <v>8010</v>
      </c>
      <c r="C9206" s="3" t="s">
        <v>8536</v>
      </c>
      <c r="D9206" s="4" t="str">
        <f>HYPERLINK("https://12go.asia/en/travel/Trang-Airport/Koh-Lipe-Walking-Street", "12Go Link")</f>
        <v>12Go Link</v>
      </c>
      <c r="E9206" s="3" t="s">
        <v>8012</v>
      </c>
      <c r="K9206" s="5"/>
    </row>
    <row r="9207">
      <c r="A9207" s="3" t="s">
        <v>8287</v>
      </c>
      <c r="B9207" s="3" t="s">
        <v>8010</v>
      </c>
      <c r="C9207" s="3" t="s">
        <v>8537</v>
      </c>
      <c r="D9207" s="4" t="str">
        <f>HYPERLINK("https://12go.asia/en/travel/Trang-Town/Koh-Lipe-Walking-Street", "12Go Link")</f>
        <v>12Go Link</v>
      </c>
      <c r="E9207" s="3" t="s">
        <v>8012</v>
      </c>
      <c r="K9207" s="5"/>
    </row>
    <row r="9208">
      <c r="A9208" s="3" t="s">
        <v>8287</v>
      </c>
      <c r="B9208" s="3" t="s">
        <v>8020</v>
      </c>
      <c r="C9208" s="3" t="s">
        <v>8538</v>
      </c>
      <c r="D9208" s="4" t="str">
        <f t="shared" ref="D9208:D9211" si="1034">HYPERLINK("https://12go.asia/en/travel/Trang-Hotel-Transfer/Phuket-Hotel-Transfer", "12Go Link")</f>
        <v>12Go Link</v>
      </c>
      <c r="E9208" s="3" t="s">
        <v>222</v>
      </c>
      <c r="K9208" s="5"/>
    </row>
    <row r="9209">
      <c r="A9209" s="3" t="s">
        <v>8287</v>
      </c>
      <c r="B9209" s="3" t="s">
        <v>8020</v>
      </c>
      <c r="C9209" s="3" t="s">
        <v>8538</v>
      </c>
      <c r="D9209" s="4" t="str">
        <f t="shared" si="1034"/>
        <v>12Go Link</v>
      </c>
      <c r="E9209" s="3" t="s">
        <v>223</v>
      </c>
      <c r="K9209" s="5"/>
    </row>
    <row r="9210">
      <c r="A9210" s="3" t="s">
        <v>8287</v>
      </c>
      <c r="B9210" s="3" t="s">
        <v>8020</v>
      </c>
      <c r="C9210" s="3" t="s">
        <v>8538</v>
      </c>
      <c r="D9210" s="4" t="str">
        <f t="shared" si="1034"/>
        <v>12Go Link</v>
      </c>
      <c r="E9210" s="3" t="s">
        <v>6599</v>
      </c>
      <c r="K9210" s="5"/>
    </row>
    <row r="9211">
      <c r="A9211" s="3" t="s">
        <v>8287</v>
      </c>
      <c r="B9211" s="3" t="s">
        <v>8020</v>
      </c>
      <c r="C9211" s="3" t="s">
        <v>8538</v>
      </c>
      <c r="D9211" s="4" t="str">
        <f t="shared" si="1034"/>
        <v>12Go Link</v>
      </c>
      <c r="E9211" s="3" t="s">
        <v>3197</v>
      </c>
      <c r="K9211" s="5"/>
    </row>
    <row r="9212">
      <c r="A9212" s="3" t="s">
        <v>8287</v>
      </c>
      <c r="B9212" s="3" t="s">
        <v>8023</v>
      </c>
      <c r="C9212" s="3" t="s">
        <v>8539</v>
      </c>
      <c r="D9212" s="4" t="str">
        <f>HYPERLINK("https://12go.asia/en/travel/Trang-Airport/Koh-Bulone-School-Beach", "12Go Link")</f>
        <v>12Go Link</v>
      </c>
      <c r="E9212" s="3" t="s">
        <v>8012</v>
      </c>
      <c r="K9212" s="5"/>
    </row>
    <row r="9213">
      <c r="A9213" s="3" t="s">
        <v>8287</v>
      </c>
      <c r="B9213" s="3" t="s">
        <v>8023</v>
      </c>
      <c r="C9213" s="3" t="s">
        <v>8540</v>
      </c>
      <c r="D9213" s="4" t="str">
        <f>HYPERLINK("https://12go.asia/en/travel/Trang-Town/Koh-Bulone-School-Beach", "12Go Link")</f>
        <v>12Go Link</v>
      </c>
      <c r="E9213" s="3" t="s">
        <v>8012</v>
      </c>
      <c r="K9213" s="5"/>
    </row>
    <row r="9214">
      <c r="A9214" s="3" t="s">
        <v>284</v>
      </c>
      <c r="B9214" s="3" t="s">
        <v>8541</v>
      </c>
      <c r="C9214" s="3" t="s">
        <v>8542</v>
      </c>
      <c r="D9214" s="4" t="str">
        <f>HYPERLINK("https://12go.asia/en/travel/Trat-Town-Hotel-Transfer/Koh-Rong-Transfer", "12Go Link")</f>
        <v>12Go Link</v>
      </c>
      <c r="E9214" s="3" t="s">
        <v>8543</v>
      </c>
      <c r="K9214" s="5"/>
    </row>
    <row r="9215">
      <c r="A9215" s="3" t="s">
        <v>284</v>
      </c>
      <c r="B9215" s="3" t="s">
        <v>238</v>
      </c>
      <c r="C9215" s="3" t="s">
        <v>8544</v>
      </c>
      <c r="D9215" s="4" t="str">
        <f>HYPERLINK("https://12go.asia/en/travel/Ao-Nid-Pier/Ekkamai", "12Go Link")</f>
        <v>12Go Link</v>
      </c>
      <c r="E9215" s="3" t="s">
        <v>8545</v>
      </c>
      <c r="K9215" s="5"/>
    </row>
    <row r="9216">
      <c r="A9216" s="3" t="s">
        <v>284</v>
      </c>
      <c r="B9216" s="3" t="s">
        <v>238</v>
      </c>
      <c r="C9216" s="3" t="s">
        <v>8546</v>
      </c>
      <c r="D9216" s="4" t="str">
        <f t="shared" ref="D9216:D9219" si="1035">HYPERLINK("https://12go.asia/en/travel/Ao-Thammachat-pier/Bangkok-Transfer", "12Go Link")</f>
        <v>12Go Link</v>
      </c>
      <c r="E9216" s="3" t="s">
        <v>222</v>
      </c>
      <c r="K9216" s="5"/>
    </row>
    <row r="9217">
      <c r="A9217" s="3" t="s">
        <v>284</v>
      </c>
      <c r="B9217" s="3" t="s">
        <v>238</v>
      </c>
      <c r="C9217" s="3" t="s">
        <v>8546</v>
      </c>
      <c r="D9217" s="4" t="str">
        <f t="shared" si="1035"/>
        <v>12Go Link</v>
      </c>
      <c r="E9217" s="3" t="s">
        <v>223</v>
      </c>
      <c r="K9217" s="5"/>
    </row>
    <row r="9218">
      <c r="A9218" s="3" t="s">
        <v>284</v>
      </c>
      <c r="B9218" s="3" t="s">
        <v>238</v>
      </c>
      <c r="C9218" s="3" t="s">
        <v>8546</v>
      </c>
      <c r="D9218" s="4" t="str">
        <f t="shared" si="1035"/>
        <v>12Go Link</v>
      </c>
      <c r="E9218" s="3" t="s">
        <v>6599</v>
      </c>
      <c r="K9218" s="5"/>
    </row>
    <row r="9219">
      <c r="A9219" s="3" t="s">
        <v>284</v>
      </c>
      <c r="B9219" s="3" t="s">
        <v>238</v>
      </c>
      <c r="C9219" s="3" t="s">
        <v>8546</v>
      </c>
      <c r="D9219" s="4" t="str">
        <f t="shared" si="1035"/>
        <v>12Go Link</v>
      </c>
      <c r="E9219" s="3" t="s">
        <v>3197</v>
      </c>
      <c r="K9219" s="5"/>
    </row>
    <row r="9220">
      <c r="A9220" s="3" t="s">
        <v>284</v>
      </c>
      <c r="B9220" s="3" t="s">
        <v>238</v>
      </c>
      <c r="C9220" s="3" t="s">
        <v>8547</v>
      </c>
      <c r="D9220" s="4" t="str">
        <f t="shared" ref="D9220:D9223" si="1036">HYPERLINK("https://12go.asia/en/travel/Laem-Sok-Pier/Bangkok-Transfer", "12Go Link")</f>
        <v>12Go Link</v>
      </c>
      <c r="E9220" s="3" t="s">
        <v>222</v>
      </c>
      <c r="K9220" s="5"/>
    </row>
    <row r="9221">
      <c r="A9221" s="3" t="s">
        <v>284</v>
      </c>
      <c r="B9221" s="3" t="s">
        <v>238</v>
      </c>
      <c r="C9221" s="3" t="s">
        <v>8547</v>
      </c>
      <c r="D9221" s="4" t="str">
        <f t="shared" si="1036"/>
        <v>12Go Link</v>
      </c>
      <c r="E9221" s="3" t="s">
        <v>223</v>
      </c>
      <c r="K9221" s="5"/>
    </row>
    <row r="9222">
      <c r="A9222" s="3" t="s">
        <v>284</v>
      </c>
      <c r="B9222" s="3" t="s">
        <v>238</v>
      </c>
      <c r="C9222" s="3" t="s">
        <v>8547</v>
      </c>
      <c r="D9222" s="4" t="str">
        <f t="shared" si="1036"/>
        <v>12Go Link</v>
      </c>
      <c r="E9222" s="3" t="s">
        <v>6599</v>
      </c>
      <c r="K9222" s="5"/>
    </row>
    <row r="9223">
      <c r="A9223" s="3" t="s">
        <v>284</v>
      </c>
      <c r="B9223" s="3" t="s">
        <v>238</v>
      </c>
      <c r="C9223" s="3" t="s">
        <v>8547</v>
      </c>
      <c r="D9223" s="4" t="str">
        <f t="shared" si="1036"/>
        <v>12Go Link</v>
      </c>
      <c r="E9223" s="3" t="s">
        <v>3197</v>
      </c>
      <c r="K9223" s="5"/>
    </row>
    <row r="9224">
      <c r="A9224" s="3" t="s">
        <v>284</v>
      </c>
      <c r="B9224" s="3" t="s">
        <v>8028</v>
      </c>
      <c r="C9224" s="3" t="s">
        <v>8548</v>
      </c>
      <c r="D9224" s="4" t="str">
        <f t="shared" ref="D9224:D9227" si="1037">HYPERLINK("https://12go.asia/en/travel/Ao-Thammachat-pier/Suvarnabhumi-Airport", "12Go Link")</f>
        <v>12Go Link</v>
      </c>
      <c r="E9224" s="3" t="s">
        <v>222</v>
      </c>
      <c r="K9224" s="5"/>
    </row>
    <row r="9225">
      <c r="A9225" s="3" t="s">
        <v>284</v>
      </c>
      <c r="B9225" s="3" t="s">
        <v>8028</v>
      </c>
      <c r="C9225" s="3" t="s">
        <v>8548</v>
      </c>
      <c r="D9225" s="4" t="str">
        <f t="shared" si="1037"/>
        <v>12Go Link</v>
      </c>
      <c r="E9225" s="3" t="s">
        <v>223</v>
      </c>
      <c r="K9225" s="5"/>
    </row>
    <row r="9226">
      <c r="A9226" s="3" t="s">
        <v>284</v>
      </c>
      <c r="B9226" s="3" t="s">
        <v>8028</v>
      </c>
      <c r="C9226" s="3" t="s">
        <v>8548</v>
      </c>
      <c r="D9226" s="4" t="str">
        <f t="shared" si="1037"/>
        <v>12Go Link</v>
      </c>
      <c r="E9226" s="3" t="s">
        <v>6599</v>
      </c>
      <c r="K9226" s="5"/>
    </row>
    <row r="9227">
      <c r="A9227" s="3" t="s">
        <v>284</v>
      </c>
      <c r="B9227" s="3" t="s">
        <v>8028</v>
      </c>
      <c r="C9227" s="3" t="s">
        <v>8548</v>
      </c>
      <c r="D9227" s="4" t="str">
        <f t="shared" si="1037"/>
        <v>12Go Link</v>
      </c>
      <c r="E9227" s="3" t="s">
        <v>3197</v>
      </c>
      <c r="K9227" s="5"/>
    </row>
    <row r="9228">
      <c r="A9228" s="3" t="s">
        <v>284</v>
      </c>
      <c r="B9228" s="3" t="s">
        <v>8028</v>
      </c>
      <c r="C9228" s="3" t="s">
        <v>8549</v>
      </c>
      <c r="D9228" s="4" t="str">
        <f t="shared" ref="D9228:D9231" si="1038">HYPERLINK("https://12go.asia/en/travel/Laem-Sok-Pier/Suvarnabhumi-Airport", "12Go Link")</f>
        <v>12Go Link</v>
      </c>
      <c r="E9228" s="3" t="s">
        <v>222</v>
      </c>
      <c r="K9228" s="5"/>
    </row>
    <row r="9229">
      <c r="A9229" s="3" t="s">
        <v>284</v>
      </c>
      <c r="B9229" s="3" t="s">
        <v>8028</v>
      </c>
      <c r="C9229" s="3" t="s">
        <v>8549</v>
      </c>
      <c r="D9229" s="4" t="str">
        <f t="shared" si="1038"/>
        <v>12Go Link</v>
      </c>
      <c r="E9229" s="3" t="s">
        <v>223</v>
      </c>
      <c r="K9229" s="5"/>
    </row>
    <row r="9230">
      <c r="A9230" s="3" t="s">
        <v>284</v>
      </c>
      <c r="B9230" s="3" t="s">
        <v>8028</v>
      </c>
      <c r="C9230" s="3" t="s">
        <v>8549</v>
      </c>
      <c r="D9230" s="4" t="str">
        <f t="shared" si="1038"/>
        <v>12Go Link</v>
      </c>
      <c r="E9230" s="3" t="s">
        <v>6599</v>
      </c>
      <c r="K9230" s="5"/>
    </row>
    <row r="9231">
      <c r="A9231" s="3" t="s">
        <v>284</v>
      </c>
      <c r="B9231" s="3" t="s">
        <v>8028</v>
      </c>
      <c r="C9231" s="3" t="s">
        <v>8549</v>
      </c>
      <c r="D9231" s="4" t="str">
        <f t="shared" si="1038"/>
        <v>12Go Link</v>
      </c>
      <c r="E9231" s="3" t="s">
        <v>3197</v>
      </c>
      <c r="K9231" s="5"/>
    </row>
    <row r="9232">
      <c r="A9232" s="3" t="s">
        <v>7393</v>
      </c>
      <c r="B9232" s="3" t="s">
        <v>238</v>
      </c>
      <c r="C9232" s="3" t="s">
        <v>8550</v>
      </c>
      <c r="D9232" s="4" t="str">
        <f t="shared" ref="D9232:D9235" si="1039">HYPERLINK("https://12go.asia/en/travel/Udon-Thani-Transfer/Bangkok-Transfer", "12Go Link")</f>
        <v>12Go Link</v>
      </c>
      <c r="E9232" s="3" t="s">
        <v>222</v>
      </c>
      <c r="K9232" s="5"/>
    </row>
    <row r="9233">
      <c r="A9233" s="3" t="s">
        <v>7393</v>
      </c>
      <c r="B9233" s="3" t="s">
        <v>238</v>
      </c>
      <c r="C9233" s="3" t="s">
        <v>8550</v>
      </c>
      <c r="D9233" s="4" t="str">
        <f t="shared" si="1039"/>
        <v>12Go Link</v>
      </c>
      <c r="E9233" s="3" t="s">
        <v>223</v>
      </c>
      <c r="K9233" s="5"/>
    </row>
    <row r="9234">
      <c r="A9234" s="3" t="s">
        <v>7393</v>
      </c>
      <c r="B9234" s="3" t="s">
        <v>238</v>
      </c>
      <c r="C9234" s="3" t="s">
        <v>8550</v>
      </c>
      <c r="D9234" s="4" t="str">
        <f t="shared" si="1039"/>
        <v>12Go Link</v>
      </c>
      <c r="E9234" s="3" t="s">
        <v>6599</v>
      </c>
      <c r="K9234" s="5"/>
    </row>
    <row r="9235">
      <c r="A9235" s="3" t="s">
        <v>7393</v>
      </c>
      <c r="B9235" s="3" t="s">
        <v>238</v>
      </c>
      <c r="C9235" s="3" t="s">
        <v>8550</v>
      </c>
      <c r="D9235" s="4" t="str">
        <f t="shared" si="1039"/>
        <v>12Go Link</v>
      </c>
      <c r="E9235" s="3" t="s">
        <v>3197</v>
      </c>
      <c r="K9235" s="5"/>
    </row>
    <row r="9236">
      <c r="A9236" s="3" t="s">
        <v>7393</v>
      </c>
      <c r="B9236" s="3" t="s">
        <v>8028</v>
      </c>
      <c r="C9236" s="3" t="s">
        <v>8551</v>
      </c>
      <c r="D9236" s="4" t="str">
        <f t="shared" ref="D9236:D9239" si="1040">HYPERLINK("https://12go.asia/en/travel/Udon-Thani-Transfer/Suvarnabhumi-Airport", "12Go Link")</f>
        <v>12Go Link</v>
      </c>
      <c r="E9236" s="3" t="s">
        <v>222</v>
      </c>
      <c r="K9236" s="5"/>
    </row>
    <row r="9237">
      <c r="A9237" s="3" t="s">
        <v>7393</v>
      </c>
      <c r="B9237" s="3" t="s">
        <v>8028</v>
      </c>
      <c r="C9237" s="3" t="s">
        <v>8551</v>
      </c>
      <c r="D9237" s="4" t="str">
        <f t="shared" si="1040"/>
        <v>12Go Link</v>
      </c>
      <c r="E9237" s="3" t="s">
        <v>223</v>
      </c>
      <c r="K9237" s="5"/>
    </row>
    <row r="9238">
      <c r="A9238" s="3" t="s">
        <v>7393</v>
      </c>
      <c r="B9238" s="3" t="s">
        <v>8028</v>
      </c>
      <c r="C9238" s="3" t="s">
        <v>8551</v>
      </c>
      <c r="D9238" s="4" t="str">
        <f t="shared" si="1040"/>
        <v>12Go Link</v>
      </c>
      <c r="E9238" s="3" t="s">
        <v>6599</v>
      </c>
      <c r="K9238" s="5"/>
    </row>
    <row r="9239">
      <c r="A9239" s="3" t="s">
        <v>7393</v>
      </c>
      <c r="B9239" s="3" t="s">
        <v>8028</v>
      </c>
      <c r="C9239" s="3" t="s">
        <v>8551</v>
      </c>
      <c r="D9239" s="4" t="str">
        <f t="shared" si="1040"/>
        <v>12Go Link</v>
      </c>
      <c r="E9239" s="3" t="s">
        <v>3197</v>
      </c>
      <c r="K9239" s="5"/>
    </row>
    <row r="9240">
      <c r="A9240" s="3" t="s">
        <v>8552</v>
      </c>
      <c r="B9240" s="3" t="s">
        <v>8553</v>
      </c>
      <c r="C9240" s="3" t="s">
        <v>8554</v>
      </c>
      <c r="D9240" s="4" t="str">
        <f>HYPERLINK("https://12go.asia/en/travel/Hammamet-Hotel-Transfer/Tunis-Carthage-Airport", "12Go Link")</f>
        <v>12Go Link</v>
      </c>
      <c r="E9240" s="3" t="s">
        <v>3481</v>
      </c>
      <c r="K9240" s="5"/>
    </row>
    <row r="9241">
      <c r="A9241" s="3" t="s">
        <v>8555</v>
      </c>
      <c r="B9241" s="3" t="s">
        <v>8553</v>
      </c>
      <c r="C9241" s="3" t="s">
        <v>8556</v>
      </c>
      <c r="D9241" s="4" t="str">
        <f t="shared" ref="D9241:D9242" si="1041">HYPERLINK("https://12go.asia/en/travel/Sfax-Hotel-Transfer/Tunis-Carthage-Airport", "12Go Link")</f>
        <v>12Go Link</v>
      </c>
      <c r="E9241" s="3" t="s">
        <v>3481</v>
      </c>
      <c r="K9241" s="5"/>
    </row>
    <row r="9242">
      <c r="A9242" s="3" t="s">
        <v>8555</v>
      </c>
      <c r="B9242" s="3" t="s">
        <v>8553</v>
      </c>
      <c r="C9242" s="3" t="s">
        <v>8556</v>
      </c>
      <c r="D9242" s="4" t="str">
        <f t="shared" si="1041"/>
        <v>12Go Link</v>
      </c>
      <c r="E9242" s="3" t="s">
        <v>3196</v>
      </c>
      <c r="K9242" s="5"/>
    </row>
    <row r="9243">
      <c r="A9243" s="3" t="s">
        <v>8557</v>
      </c>
      <c r="B9243" s="3" t="s">
        <v>8553</v>
      </c>
      <c r="C9243" s="3" t="s">
        <v>8558</v>
      </c>
      <c r="D9243" s="4" t="str">
        <f>HYPERLINK("https://12go.asia/en/travel/Sousse-Hotel-Transfer/Tunis-Carthage-Airport", "12Go Link")</f>
        <v>12Go Link</v>
      </c>
      <c r="E9243" s="3" t="s">
        <v>3481</v>
      </c>
      <c r="K9243" s="5"/>
    </row>
    <row r="9244">
      <c r="A9244" s="3" t="s">
        <v>8553</v>
      </c>
      <c r="B9244" s="3" t="s">
        <v>8552</v>
      </c>
      <c r="C9244" s="3" t="s">
        <v>8559</v>
      </c>
      <c r="D9244" s="4" t="str">
        <f>HYPERLINK("https://12go.asia/en/travel/Tunis-Carthage-Airport/Hammamet-Hotel-Transfer", "12Go Link")</f>
        <v>12Go Link</v>
      </c>
      <c r="E9244" s="3" t="s">
        <v>3481</v>
      </c>
      <c r="K9244" s="5"/>
    </row>
    <row r="9245">
      <c r="A9245" s="3" t="s">
        <v>8553</v>
      </c>
      <c r="B9245" s="3" t="s">
        <v>8555</v>
      </c>
      <c r="C9245" s="3" t="s">
        <v>8560</v>
      </c>
      <c r="D9245" s="4" t="str">
        <f t="shared" ref="D9245:D9246" si="1042">HYPERLINK("https://12go.asia/en/travel/Tunis-Carthage-Airport/Sfax-Hotel-Transfer", "12Go Link")</f>
        <v>12Go Link</v>
      </c>
      <c r="E9245" s="3" t="s">
        <v>3481</v>
      </c>
      <c r="K9245" s="5"/>
    </row>
    <row r="9246">
      <c r="A9246" s="3" t="s">
        <v>8553</v>
      </c>
      <c r="B9246" s="3" t="s">
        <v>8555</v>
      </c>
      <c r="C9246" s="3" t="s">
        <v>8560</v>
      </c>
      <c r="D9246" s="4" t="str">
        <f t="shared" si="1042"/>
        <v>12Go Link</v>
      </c>
      <c r="E9246" s="3" t="s">
        <v>3196</v>
      </c>
      <c r="K9246" s="5"/>
    </row>
    <row r="9247">
      <c r="A9247" s="3" t="s">
        <v>8553</v>
      </c>
      <c r="B9247" s="3" t="s">
        <v>8557</v>
      </c>
      <c r="C9247" s="3" t="s">
        <v>8561</v>
      </c>
      <c r="D9247" s="4" t="str">
        <f>HYPERLINK("https://12go.asia/en/travel/Tunis-Carthage-Airport/Sousse-Hotel-Transfer", "12Go Link")</f>
        <v>12Go Link</v>
      </c>
      <c r="E9247" s="3" t="s">
        <v>3481</v>
      </c>
      <c r="K9247" s="5"/>
    </row>
    <row r="9248">
      <c r="A9248" s="3" t="s">
        <v>8562</v>
      </c>
      <c r="B9248" s="3" t="s">
        <v>8563</v>
      </c>
      <c r="C9248" s="3" t="s">
        <v>8564</v>
      </c>
      <c r="D9248" s="4" t="str">
        <f t="shared" ref="D9248:D9250" si="1043">HYPERLINK("https://12go.asia/en/travel/Adakoy-Hotel-Transfer/Dalaman-Airport", "12Go Link")</f>
        <v>12Go Link</v>
      </c>
      <c r="E9248" s="3" t="s">
        <v>3196</v>
      </c>
      <c r="K9248" s="5"/>
    </row>
    <row r="9249">
      <c r="A9249" s="3" t="s">
        <v>8562</v>
      </c>
      <c r="B9249" s="3" t="s">
        <v>8563</v>
      </c>
      <c r="C9249" s="3" t="s">
        <v>8564</v>
      </c>
      <c r="D9249" s="4" t="str">
        <f t="shared" si="1043"/>
        <v>12Go Link</v>
      </c>
      <c r="E9249" s="3" t="s">
        <v>226</v>
      </c>
      <c r="K9249" s="5"/>
    </row>
    <row r="9250">
      <c r="A9250" s="3" t="s">
        <v>8562</v>
      </c>
      <c r="B9250" s="3" t="s">
        <v>8563</v>
      </c>
      <c r="C9250" s="3" t="s">
        <v>8564</v>
      </c>
      <c r="D9250" s="4" t="str">
        <f t="shared" si="1043"/>
        <v>12Go Link</v>
      </c>
      <c r="E9250" s="3" t="s">
        <v>3203</v>
      </c>
      <c r="K9250" s="5"/>
    </row>
    <row r="9251">
      <c r="A9251" s="3" t="s">
        <v>8565</v>
      </c>
      <c r="B9251" s="3" t="s">
        <v>8566</v>
      </c>
      <c r="C9251" s="3" t="s">
        <v>8567</v>
      </c>
      <c r="D9251" s="4" t="str">
        <f t="shared" ref="D9251:D9252" si="1044">HYPERLINK("https://12go.asia/en/travel/Adana-Airport/Avanos-Hotel-Transfer", "12Go Link")</f>
        <v>12Go Link</v>
      </c>
      <c r="E9251" s="3" t="s">
        <v>8568</v>
      </c>
      <c r="K9251" s="5"/>
    </row>
    <row r="9252">
      <c r="A9252" s="3" t="s">
        <v>8565</v>
      </c>
      <c r="B9252" s="3" t="s">
        <v>8566</v>
      </c>
      <c r="C9252" s="3" t="s">
        <v>8567</v>
      </c>
      <c r="D9252" s="4" t="str">
        <f t="shared" si="1044"/>
        <v>12Go Link</v>
      </c>
      <c r="E9252" s="3" t="s">
        <v>228</v>
      </c>
      <c r="K9252" s="5"/>
    </row>
    <row r="9253">
      <c r="A9253" s="3" t="s">
        <v>8565</v>
      </c>
      <c r="B9253" s="3" t="s">
        <v>8566</v>
      </c>
      <c r="C9253" s="3" t="s">
        <v>8569</v>
      </c>
      <c r="D9253" s="4" t="str">
        <f t="shared" ref="D9253:D9254" si="1045">HYPERLINK("https://12go.asia/en/travel/Adana-Hotel-Transfer/Avanos-Hotel-Transfer", "12Go Link")</f>
        <v>12Go Link</v>
      </c>
      <c r="E9253" s="3" t="s">
        <v>8568</v>
      </c>
      <c r="K9253" s="5"/>
    </row>
    <row r="9254">
      <c r="A9254" s="3" t="s">
        <v>8565</v>
      </c>
      <c r="B9254" s="3" t="s">
        <v>8566</v>
      </c>
      <c r="C9254" s="3" t="s">
        <v>8569</v>
      </c>
      <c r="D9254" s="4" t="str">
        <f t="shared" si="1045"/>
        <v>12Go Link</v>
      </c>
      <c r="E9254" s="3" t="s">
        <v>228</v>
      </c>
      <c r="K9254" s="5"/>
    </row>
    <row r="9255">
      <c r="A9255" s="3" t="s">
        <v>8565</v>
      </c>
      <c r="B9255" s="3" t="s">
        <v>8570</v>
      </c>
      <c r="C9255" s="3" t="s">
        <v>8571</v>
      </c>
      <c r="D9255" s="4" t="str">
        <f t="shared" ref="D9255:D9256" si="1046">HYPERLINK("https://12go.asia/en/travel/Adana-Airport/Cappadocia-Hotel-Transfer", "12Go Link")</f>
        <v>12Go Link</v>
      </c>
      <c r="E9255" s="3" t="s">
        <v>8568</v>
      </c>
      <c r="K9255" s="5"/>
    </row>
    <row r="9256">
      <c r="A9256" s="3" t="s">
        <v>8565</v>
      </c>
      <c r="B9256" s="3" t="s">
        <v>8570</v>
      </c>
      <c r="C9256" s="3" t="s">
        <v>8571</v>
      </c>
      <c r="D9256" s="4" t="str">
        <f t="shared" si="1046"/>
        <v>12Go Link</v>
      </c>
      <c r="E9256" s="3" t="s">
        <v>228</v>
      </c>
      <c r="K9256" s="5"/>
    </row>
    <row r="9257">
      <c r="A9257" s="3" t="s">
        <v>8565</v>
      </c>
      <c r="B9257" s="3" t="s">
        <v>8570</v>
      </c>
      <c r="C9257" s="3" t="s">
        <v>8572</v>
      </c>
      <c r="D9257" s="4" t="str">
        <f t="shared" ref="D9257:D9258" si="1047">HYPERLINK("https://12go.asia/en/travel/Adana-Hotel-Transfer/Cappadocia-Hotel-Transfer", "12Go Link")</f>
        <v>12Go Link</v>
      </c>
      <c r="E9257" s="3" t="s">
        <v>8568</v>
      </c>
      <c r="K9257" s="5"/>
    </row>
    <row r="9258">
      <c r="A9258" s="3" t="s">
        <v>8565</v>
      </c>
      <c r="B9258" s="3" t="s">
        <v>8570</v>
      </c>
      <c r="C9258" s="3" t="s">
        <v>8572</v>
      </c>
      <c r="D9258" s="4" t="str">
        <f t="shared" si="1047"/>
        <v>12Go Link</v>
      </c>
      <c r="E9258" s="3" t="s">
        <v>228</v>
      </c>
      <c r="K9258" s="5"/>
    </row>
    <row r="9259">
      <c r="A9259" s="3" t="s">
        <v>8565</v>
      </c>
      <c r="B9259" s="3" t="s">
        <v>8573</v>
      </c>
      <c r="C9259" s="3" t="s">
        <v>8574</v>
      </c>
      <c r="D9259" s="4" t="str">
        <f t="shared" ref="D9259:D9260" si="1048">HYPERLINK("https://12go.asia/en/travel/Adana-Airport/Cavusin-Hotel-Transfer", "12Go Link")</f>
        <v>12Go Link</v>
      </c>
      <c r="E9259" s="3" t="s">
        <v>8568</v>
      </c>
      <c r="K9259" s="5"/>
    </row>
    <row r="9260">
      <c r="A9260" s="3" t="s">
        <v>8565</v>
      </c>
      <c r="B9260" s="3" t="s">
        <v>8573</v>
      </c>
      <c r="C9260" s="3" t="s">
        <v>8574</v>
      </c>
      <c r="D9260" s="4" t="str">
        <f t="shared" si="1048"/>
        <v>12Go Link</v>
      </c>
      <c r="E9260" s="3" t="s">
        <v>228</v>
      </c>
      <c r="K9260" s="5"/>
    </row>
    <row r="9261">
      <c r="A9261" s="3" t="s">
        <v>8565</v>
      </c>
      <c r="B9261" s="3" t="s">
        <v>8573</v>
      </c>
      <c r="C9261" s="3" t="s">
        <v>8575</v>
      </c>
      <c r="D9261" s="4" t="str">
        <f t="shared" ref="D9261:D9262" si="1049">HYPERLINK("https://12go.asia/en/travel/Adana-Hotel-Transfer/Cavusin-Hotel-Transfer", "12Go Link")</f>
        <v>12Go Link</v>
      </c>
      <c r="E9261" s="3" t="s">
        <v>8568</v>
      </c>
      <c r="K9261" s="5"/>
    </row>
    <row r="9262">
      <c r="A9262" s="3" t="s">
        <v>8565</v>
      </c>
      <c r="B9262" s="3" t="s">
        <v>8573</v>
      </c>
      <c r="C9262" s="3" t="s">
        <v>8575</v>
      </c>
      <c r="D9262" s="4" t="str">
        <f t="shared" si="1049"/>
        <v>12Go Link</v>
      </c>
      <c r="E9262" s="3" t="s">
        <v>228</v>
      </c>
      <c r="K9262" s="5"/>
    </row>
    <row r="9263">
      <c r="A9263" s="3" t="s">
        <v>8565</v>
      </c>
      <c r="B9263" s="3" t="s">
        <v>8576</v>
      </c>
      <c r="C9263" s="3" t="s">
        <v>8577</v>
      </c>
      <c r="D9263" s="4" t="str">
        <f t="shared" ref="D9263:D9264" si="1050">HYPERLINK("https://12go.asia/en/travel/Adana-Airport/Goreme-Hotel-Transfer", "12Go Link")</f>
        <v>12Go Link</v>
      </c>
      <c r="E9263" s="3" t="s">
        <v>8568</v>
      </c>
      <c r="K9263" s="5"/>
    </row>
    <row r="9264">
      <c r="A9264" s="3" t="s">
        <v>8565</v>
      </c>
      <c r="B9264" s="3" t="s">
        <v>8576</v>
      </c>
      <c r="C9264" s="3" t="s">
        <v>8577</v>
      </c>
      <c r="D9264" s="4" t="str">
        <f t="shared" si="1050"/>
        <v>12Go Link</v>
      </c>
      <c r="E9264" s="3" t="s">
        <v>228</v>
      </c>
      <c r="K9264" s="5"/>
    </row>
    <row r="9265">
      <c r="A9265" s="3" t="s">
        <v>8565</v>
      </c>
      <c r="B9265" s="3" t="s">
        <v>8576</v>
      </c>
      <c r="C9265" s="3" t="s">
        <v>8578</v>
      </c>
      <c r="D9265" s="4" t="str">
        <f t="shared" ref="D9265:D9266" si="1051">HYPERLINK("https://12go.asia/en/travel/Adana-Hotel-Transfer/Goreme-Hotel-Transfer", "12Go Link")</f>
        <v>12Go Link</v>
      </c>
      <c r="E9265" s="3" t="s">
        <v>8568</v>
      </c>
      <c r="K9265" s="5"/>
    </row>
    <row r="9266">
      <c r="A9266" s="3" t="s">
        <v>8565</v>
      </c>
      <c r="B9266" s="3" t="s">
        <v>8576</v>
      </c>
      <c r="C9266" s="3" t="s">
        <v>8578</v>
      </c>
      <c r="D9266" s="4" t="str">
        <f t="shared" si="1051"/>
        <v>12Go Link</v>
      </c>
      <c r="E9266" s="3" t="s">
        <v>228</v>
      </c>
      <c r="K9266" s="5"/>
    </row>
    <row r="9267">
      <c r="A9267" s="3" t="s">
        <v>8565</v>
      </c>
      <c r="B9267" s="3" t="s">
        <v>8579</v>
      </c>
      <c r="C9267" s="3" t="s">
        <v>8580</v>
      </c>
      <c r="D9267" s="4" t="str">
        <f t="shared" ref="D9267:D9268" si="1052">HYPERLINK("https://12go.asia/en/travel/Adana-Hotel-Transfer/Kayseri-Airport", "12Go Link")</f>
        <v>12Go Link</v>
      </c>
      <c r="E9267" s="3" t="s">
        <v>3196</v>
      </c>
      <c r="K9267" s="5"/>
    </row>
    <row r="9268">
      <c r="A9268" s="3" t="s">
        <v>8565</v>
      </c>
      <c r="B9268" s="3" t="s">
        <v>8579</v>
      </c>
      <c r="C9268" s="3" t="s">
        <v>8580</v>
      </c>
      <c r="D9268" s="4" t="str">
        <f t="shared" si="1052"/>
        <v>12Go Link</v>
      </c>
      <c r="E9268" s="3" t="s">
        <v>3203</v>
      </c>
      <c r="K9268" s="5"/>
    </row>
    <row r="9269">
      <c r="A9269" s="3" t="s">
        <v>8565</v>
      </c>
      <c r="B9269" s="3" t="s">
        <v>8581</v>
      </c>
      <c r="C9269" s="3" t="s">
        <v>8582</v>
      </c>
      <c r="D9269" s="4" t="str">
        <f t="shared" ref="D9269:D9270" si="1053">HYPERLINK("https://12go.asia/en/travel/Adana-Airport/Nevsehir-Hotel-Transfer", "12Go Link")</f>
        <v>12Go Link</v>
      </c>
      <c r="E9269" s="3" t="s">
        <v>8568</v>
      </c>
      <c r="K9269" s="5"/>
    </row>
    <row r="9270">
      <c r="A9270" s="3" t="s">
        <v>8565</v>
      </c>
      <c r="B9270" s="3" t="s">
        <v>8581</v>
      </c>
      <c r="C9270" s="3" t="s">
        <v>8582</v>
      </c>
      <c r="D9270" s="4" t="str">
        <f t="shared" si="1053"/>
        <v>12Go Link</v>
      </c>
      <c r="E9270" s="3" t="s">
        <v>228</v>
      </c>
      <c r="K9270" s="5"/>
    </row>
    <row r="9271">
      <c r="A9271" s="3" t="s">
        <v>8565</v>
      </c>
      <c r="B9271" s="3" t="s">
        <v>8581</v>
      </c>
      <c r="C9271" s="3" t="s">
        <v>8583</v>
      </c>
      <c r="D9271" s="4" t="str">
        <f t="shared" ref="D9271:D9272" si="1054">HYPERLINK("https://12go.asia/en/travel/Adana-Hotel-Transfer/Nevsehir-Hotel-Transfer", "12Go Link")</f>
        <v>12Go Link</v>
      </c>
      <c r="E9271" s="3" t="s">
        <v>8568</v>
      </c>
      <c r="K9271" s="5"/>
    </row>
    <row r="9272">
      <c r="A9272" s="3" t="s">
        <v>8565</v>
      </c>
      <c r="B9272" s="3" t="s">
        <v>8581</v>
      </c>
      <c r="C9272" s="3" t="s">
        <v>8583</v>
      </c>
      <c r="D9272" s="4" t="str">
        <f t="shared" si="1054"/>
        <v>12Go Link</v>
      </c>
      <c r="E9272" s="3" t="s">
        <v>228</v>
      </c>
      <c r="K9272" s="5"/>
    </row>
    <row r="9273">
      <c r="A9273" s="3" t="s">
        <v>8565</v>
      </c>
      <c r="B9273" s="3" t="s">
        <v>8584</v>
      </c>
      <c r="C9273" s="3" t="s">
        <v>8585</v>
      </c>
      <c r="D9273" s="4" t="str">
        <f t="shared" ref="D9273:D9274" si="1055">HYPERLINK("https://12go.asia/en/travel/Adana-Airport/Ortahisar-Hotel-Transfer", "12Go Link")</f>
        <v>12Go Link</v>
      </c>
      <c r="E9273" s="3" t="s">
        <v>8568</v>
      </c>
      <c r="K9273" s="5"/>
    </row>
    <row r="9274">
      <c r="A9274" s="3" t="s">
        <v>8565</v>
      </c>
      <c r="B9274" s="3" t="s">
        <v>8584</v>
      </c>
      <c r="C9274" s="3" t="s">
        <v>8585</v>
      </c>
      <c r="D9274" s="4" t="str">
        <f t="shared" si="1055"/>
        <v>12Go Link</v>
      </c>
      <c r="E9274" s="3" t="s">
        <v>228</v>
      </c>
      <c r="K9274" s="5"/>
    </row>
    <row r="9275">
      <c r="A9275" s="3" t="s">
        <v>8565</v>
      </c>
      <c r="B9275" s="3" t="s">
        <v>8584</v>
      </c>
      <c r="C9275" s="3" t="s">
        <v>8586</v>
      </c>
      <c r="D9275" s="4" t="str">
        <f t="shared" ref="D9275:D9276" si="1056">HYPERLINK("https://12go.asia/en/travel/Adana-Hotel-Transfer/Ortahisar-Hotel-Transfer", "12Go Link")</f>
        <v>12Go Link</v>
      </c>
      <c r="E9275" s="3" t="s">
        <v>8568</v>
      </c>
      <c r="K9275" s="5"/>
    </row>
    <row r="9276">
      <c r="A9276" s="3" t="s">
        <v>8565</v>
      </c>
      <c r="B9276" s="3" t="s">
        <v>8584</v>
      </c>
      <c r="C9276" s="3" t="s">
        <v>8586</v>
      </c>
      <c r="D9276" s="4" t="str">
        <f t="shared" si="1056"/>
        <v>12Go Link</v>
      </c>
      <c r="E9276" s="3" t="s">
        <v>228</v>
      </c>
      <c r="K9276" s="5"/>
    </row>
    <row r="9277">
      <c r="A9277" s="3" t="s">
        <v>8565</v>
      </c>
      <c r="B9277" s="3" t="s">
        <v>8587</v>
      </c>
      <c r="C9277" s="3" t="s">
        <v>8588</v>
      </c>
      <c r="D9277" s="4" t="str">
        <f t="shared" ref="D9277:D9278" si="1057">HYPERLINK("https://12go.asia/en/travel/Adana-Airport/Uchisar-Hotel-Transfer", "12Go Link")</f>
        <v>12Go Link</v>
      </c>
      <c r="E9277" s="3" t="s">
        <v>8568</v>
      </c>
      <c r="K9277" s="5"/>
    </row>
    <row r="9278">
      <c r="A9278" s="3" t="s">
        <v>8565</v>
      </c>
      <c r="B9278" s="3" t="s">
        <v>8587</v>
      </c>
      <c r="C9278" s="3" t="s">
        <v>8588</v>
      </c>
      <c r="D9278" s="4" t="str">
        <f t="shared" si="1057"/>
        <v>12Go Link</v>
      </c>
      <c r="E9278" s="3" t="s">
        <v>228</v>
      </c>
      <c r="K9278" s="5"/>
    </row>
    <row r="9279">
      <c r="A9279" s="3" t="s">
        <v>8565</v>
      </c>
      <c r="B9279" s="3" t="s">
        <v>8587</v>
      </c>
      <c r="C9279" s="3" t="s">
        <v>8589</v>
      </c>
      <c r="D9279" s="4" t="str">
        <f t="shared" ref="D9279:D9280" si="1058">HYPERLINK("https://12go.asia/en/travel/Adana-Hotel-Transfer/Uchisar-Hotel-Transfer", "12Go Link")</f>
        <v>12Go Link</v>
      </c>
      <c r="E9279" s="3" t="s">
        <v>8568</v>
      </c>
      <c r="K9279" s="5"/>
    </row>
    <row r="9280">
      <c r="A9280" s="3" t="s">
        <v>8565</v>
      </c>
      <c r="B9280" s="3" t="s">
        <v>8587</v>
      </c>
      <c r="C9280" s="3" t="s">
        <v>8589</v>
      </c>
      <c r="D9280" s="4" t="str">
        <f t="shared" si="1058"/>
        <v>12Go Link</v>
      </c>
      <c r="E9280" s="3" t="s">
        <v>228</v>
      </c>
      <c r="K9280" s="5"/>
    </row>
    <row r="9281">
      <c r="A9281" s="3" t="s">
        <v>8565</v>
      </c>
      <c r="B9281" s="3" t="s">
        <v>8590</v>
      </c>
      <c r="C9281" s="3" t="s">
        <v>8591</v>
      </c>
      <c r="D9281" s="4" t="str">
        <f t="shared" ref="D9281:D9282" si="1059">HYPERLINK("https://12go.asia/en/travel/Adana-Airport/Urgup-Hotel-Transfer", "12Go Link")</f>
        <v>12Go Link</v>
      </c>
      <c r="E9281" s="3" t="s">
        <v>8568</v>
      </c>
      <c r="K9281" s="5"/>
    </row>
    <row r="9282">
      <c r="A9282" s="3" t="s">
        <v>8565</v>
      </c>
      <c r="B9282" s="3" t="s">
        <v>8590</v>
      </c>
      <c r="C9282" s="3" t="s">
        <v>8591</v>
      </c>
      <c r="D9282" s="4" t="str">
        <f t="shared" si="1059"/>
        <v>12Go Link</v>
      </c>
      <c r="E9282" s="3" t="s">
        <v>228</v>
      </c>
      <c r="K9282" s="5"/>
    </row>
    <row r="9283">
      <c r="A9283" s="3" t="s">
        <v>8565</v>
      </c>
      <c r="B9283" s="3" t="s">
        <v>8590</v>
      </c>
      <c r="C9283" s="3" t="s">
        <v>8592</v>
      </c>
      <c r="D9283" s="4" t="str">
        <f t="shared" ref="D9283:D9284" si="1060">HYPERLINK("https://12go.asia/en/travel/Adana-Hotel-Transfer/Urgup-Hotel-Transfer", "12Go Link")</f>
        <v>12Go Link</v>
      </c>
      <c r="E9283" s="3" t="s">
        <v>8568</v>
      </c>
      <c r="K9283" s="5"/>
    </row>
    <row r="9284">
      <c r="A9284" s="3" t="s">
        <v>8565</v>
      </c>
      <c r="B9284" s="3" t="s">
        <v>8590</v>
      </c>
      <c r="C9284" s="3" t="s">
        <v>8592</v>
      </c>
      <c r="D9284" s="4" t="str">
        <f t="shared" si="1060"/>
        <v>12Go Link</v>
      </c>
      <c r="E9284" s="3" t="s">
        <v>228</v>
      </c>
      <c r="K9284" s="5"/>
    </row>
    <row r="9285">
      <c r="A9285" s="3" t="s">
        <v>8593</v>
      </c>
      <c r="B9285" s="3" t="s">
        <v>8594</v>
      </c>
      <c r="C9285" s="3" t="s">
        <v>8595</v>
      </c>
      <c r="D9285" s="4" t="str">
        <f t="shared" ref="D9285:D9287" si="1061">HYPERLINK("https://12go.asia/en/travel/Akbuk-Hotel-Transfer/Adnan-Menderes-Airport", "12Go Link")</f>
        <v>12Go Link</v>
      </c>
      <c r="E9285" s="3" t="s">
        <v>3196</v>
      </c>
      <c r="K9285" s="5"/>
    </row>
    <row r="9286">
      <c r="A9286" s="3" t="s">
        <v>8593</v>
      </c>
      <c r="B9286" s="3" t="s">
        <v>8594</v>
      </c>
      <c r="C9286" s="3" t="s">
        <v>8595</v>
      </c>
      <c r="D9286" s="4" t="str">
        <f t="shared" si="1061"/>
        <v>12Go Link</v>
      </c>
      <c r="E9286" s="3" t="s">
        <v>226</v>
      </c>
      <c r="K9286" s="5"/>
    </row>
    <row r="9287">
      <c r="A9287" s="3" t="s">
        <v>8593</v>
      </c>
      <c r="B9287" s="3" t="s">
        <v>8594</v>
      </c>
      <c r="C9287" s="3" t="s">
        <v>8595</v>
      </c>
      <c r="D9287" s="4" t="str">
        <f t="shared" si="1061"/>
        <v>12Go Link</v>
      </c>
      <c r="E9287" s="3" t="s">
        <v>3203</v>
      </c>
      <c r="K9287" s="5"/>
    </row>
    <row r="9288">
      <c r="A9288" s="3" t="s">
        <v>8596</v>
      </c>
      <c r="B9288" s="3" t="s">
        <v>8594</v>
      </c>
      <c r="C9288" s="3" t="s">
        <v>8597</v>
      </c>
      <c r="D9288" s="4" t="str">
        <f t="shared" ref="D9288:D9290" si="1062">HYPERLINK("https://12go.asia/en/travel/Akcay-Hotel-Transfer/Adnan-Menderes-Airport", "12Go Link")</f>
        <v>12Go Link</v>
      </c>
      <c r="E9288" s="3" t="s">
        <v>3196</v>
      </c>
      <c r="K9288" s="5"/>
    </row>
    <row r="9289">
      <c r="A9289" s="3" t="s">
        <v>8596</v>
      </c>
      <c r="B9289" s="3" t="s">
        <v>8594</v>
      </c>
      <c r="C9289" s="3" t="s">
        <v>8597</v>
      </c>
      <c r="D9289" s="4" t="str">
        <f t="shared" si="1062"/>
        <v>12Go Link</v>
      </c>
      <c r="E9289" s="3" t="s">
        <v>226</v>
      </c>
      <c r="K9289" s="5"/>
    </row>
    <row r="9290">
      <c r="A9290" s="3" t="s">
        <v>8596</v>
      </c>
      <c r="B9290" s="3" t="s">
        <v>8594</v>
      </c>
      <c r="C9290" s="3" t="s">
        <v>8597</v>
      </c>
      <c r="D9290" s="4" t="str">
        <f t="shared" si="1062"/>
        <v>12Go Link</v>
      </c>
      <c r="E9290" s="3" t="s">
        <v>3203</v>
      </c>
      <c r="K9290" s="5"/>
    </row>
    <row r="9291">
      <c r="A9291" s="3" t="s">
        <v>8598</v>
      </c>
      <c r="B9291" s="3" t="s">
        <v>8594</v>
      </c>
      <c r="C9291" s="3" t="s">
        <v>8599</v>
      </c>
      <c r="D9291" s="4" t="str">
        <f t="shared" ref="D9291:D9293" si="1063">HYPERLINK("https://12go.asia/en/travel/Alacati-Hotel-Transfer/Adnan-Menderes-Airport", "12Go Link")</f>
        <v>12Go Link</v>
      </c>
      <c r="E9291" s="3" t="s">
        <v>3196</v>
      </c>
      <c r="K9291" s="5"/>
    </row>
    <row r="9292">
      <c r="A9292" s="3" t="s">
        <v>8598</v>
      </c>
      <c r="B9292" s="3" t="s">
        <v>8594</v>
      </c>
      <c r="C9292" s="3" t="s">
        <v>8599</v>
      </c>
      <c r="D9292" s="4" t="str">
        <f t="shared" si="1063"/>
        <v>12Go Link</v>
      </c>
      <c r="E9292" s="3" t="s">
        <v>226</v>
      </c>
      <c r="K9292" s="5"/>
    </row>
    <row r="9293">
      <c r="A9293" s="3" t="s">
        <v>8598</v>
      </c>
      <c r="B9293" s="3" t="s">
        <v>8594</v>
      </c>
      <c r="C9293" s="3" t="s">
        <v>8599</v>
      </c>
      <c r="D9293" s="4" t="str">
        <f t="shared" si="1063"/>
        <v>12Go Link</v>
      </c>
      <c r="E9293" s="3" t="s">
        <v>3203</v>
      </c>
      <c r="K9293" s="5"/>
    </row>
    <row r="9294">
      <c r="A9294" s="3" t="s">
        <v>8600</v>
      </c>
      <c r="B9294" s="3" t="s">
        <v>8601</v>
      </c>
      <c r="C9294" s="3" t="s">
        <v>8602</v>
      </c>
      <c r="D9294" s="4" t="str">
        <f t="shared" ref="D9294:D9296" si="1064">HYPERLINK("https://12go.asia/en/travel/Alanya-Hotel-Transfer/Antalya-Airport", "12Go Link")</f>
        <v>12Go Link</v>
      </c>
      <c r="E9294" s="3" t="s">
        <v>3196</v>
      </c>
      <c r="K9294" s="5"/>
    </row>
    <row r="9295">
      <c r="A9295" s="3" t="s">
        <v>8600</v>
      </c>
      <c r="B9295" s="3" t="s">
        <v>8601</v>
      </c>
      <c r="C9295" s="3" t="s">
        <v>8602</v>
      </c>
      <c r="D9295" s="4" t="str">
        <f t="shared" si="1064"/>
        <v>12Go Link</v>
      </c>
      <c r="E9295" s="3" t="s">
        <v>226</v>
      </c>
      <c r="K9295" s="5"/>
    </row>
    <row r="9296">
      <c r="A9296" s="3" t="s">
        <v>8600</v>
      </c>
      <c r="B9296" s="3" t="s">
        <v>8601</v>
      </c>
      <c r="C9296" s="3" t="s">
        <v>8602</v>
      </c>
      <c r="D9296" s="4" t="str">
        <f t="shared" si="1064"/>
        <v>12Go Link</v>
      </c>
      <c r="E9296" s="3" t="s">
        <v>3203</v>
      </c>
      <c r="K9296" s="5"/>
    </row>
    <row r="9297">
      <c r="A9297" s="3" t="s">
        <v>8603</v>
      </c>
      <c r="B9297" s="3" t="s">
        <v>8594</v>
      </c>
      <c r="C9297" s="3" t="s">
        <v>8604</v>
      </c>
      <c r="D9297" s="4" t="str">
        <f t="shared" ref="D9297:D9299" si="1065">HYPERLINK("https://12go.asia/en/travel/Aliaga-Hotel-Transfer/Adnan-Menderes-Airport", "12Go Link")</f>
        <v>12Go Link</v>
      </c>
      <c r="E9297" s="3" t="s">
        <v>3196</v>
      </c>
      <c r="K9297" s="5"/>
    </row>
    <row r="9298">
      <c r="A9298" s="3" t="s">
        <v>8603</v>
      </c>
      <c r="B9298" s="3" t="s">
        <v>8594</v>
      </c>
      <c r="C9298" s="3" t="s">
        <v>8604</v>
      </c>
      <c r="D9298" s="4" t="str">
        <f t="shared" si="1065"/>
        <v>12Go Link</v>
      </c>
      <c r="E9298" s="3" t="s">
        <v>226</v>
      </c>
      <c r="K9298" s="5"/>
    </row>
    <row r="9299">
      <c r="A9299" s="3" t="s">
        <v>8603</v>
      </c>
      <c r="B9299" s="3" t="s">
        <v>8594</v>
      </c>
      <c r="C9299" s="3" t="s">
        <v>8604</v>
      </c>
      <c r="D9299" s="4" t="str">
        <f t="shared" si="1065"/>
        <v>12Go Link</v>
      </c>
      <c r="E9299" s="3" t="s">
        <v>3203</v>
      </c>
      <c r="K9299" s="5"/>
    </row>
    <row r="9300">
      <c r="A9300" s="3" t="s">
        <v>8605</v>
      </c>
      <c r="B9300" s="3" t="s">
        <v>8594</v>
      </c>
      <c r="C9300" s="3" t="s">
        <v>8606</v>
      </c>
      <c r="D9300" s="4" t="str">
        <f t="shared" ref="D9300:D9302" si="1066">HYPERLINK("https://12go.asia/en/travel/Altinkum-Hotel-Transfer/Adnan-Menderes-Airport", "12Go Link")</f>
        <v>12Go Link</v>
      </c>
      <c r="E9300" s="3" t="s">
        <v>3196</v>
      </c>
      <c r="K9300" s="5"/>
    </row>
    <row r="9301">
      <c r="A9301" s="3" t="s">
        <v>8605</v>
      </c>
      <c r="B9301" s="3" t="s">
        <v>8594</v>
      </c>
      <c r="C9301" s="3" t="s">
        <v>8606</v>
      </c>
      <c r="D9301" s="4" t="str">
        <f t="shared" si="1066"/>
        <v>12Go Link</v>
      </c>
      <c r="E9301" s="3" t="s">
        <v>226</v>
      </c>
      <c r="K9301" s="5"/>
    </row>
    <row r="9302">
      <c r="A9302" s="3" t="s">
        <v>8605</v>
      </c>
      <c r="B9302" s="3" t="s">
        <v>8594</v>
      </c>
      <c r="C9302" s="3" t="s">
        <v>8606</v>
      </c>
      <c r="D9302" s="4" t="str">
        <f t="shared" si="1066"/>
        <v>12Go Link</v>
      </c>
      <c r="E9302" s="3" t="s">
        <v>3203</v>
      </c>
      <c r="K9302" s="5"/>
    </row>
    <row r="9303">
      <c r="A9303" s="3" t="s">
        <v>8607</v>
      </c>
      <c r="B9303" s="3" t="s">
        <v>8594</v>
      </c>
      <c r="C9303" s="3" t="s">
        <v>8608</v>
      </c>
      <c r="D9303" s="4" t="str">
        <f t="shared" ref="D9303:D9305" si="1067">HYPERLINK("https://12go.asia/en/travel/Altinoluk-Hotel-Transfer/Adnan-Menderes-Airport", "12Go Link")</f>
        <v>12Go Link</v>
      </c>
      <c r="E9303" s="3" t="s">
        <v>3196</v>
      </c>
      <c r="K9303" s="5"/>
    </row>
    <row r="9304">
      <c r="A9304" s="3" t="s">
        <v>8607</v>
      </c>
      <c r="B9304" s="3" t="s">
        <v>8594</v>
      </c>
      <c r="C9304" s="3" t="s">
        <v>8608</v>
      </c>
      <c r="D9304" s="4" t="str">
        <f t="shared" si="1067"/>
        <v>12Go Link</v>
      </c>
      <c r="E9304" s="3" t="s">
        <v>226</v>
      </c>
      <c r="K9304" s="5"/>
    </row>
    <row r="9305">
      <c r="A9305" s="3" t="s">
        <v>8607</v>
      </c>
      <c r="B9305" s="3" t="s">
        <v>8594</v>
      </c>
      <c r="C9305" s="3" t="s">
        <v>8608</v>
      </c>
      <c r="D9305" s="4" t="str">
        <f t="shared" si="1067"/>
        <v>12Go Link</v>
      </c>
      <c r="E9305" s="3" t="s">
        <v>3203</v>
      </c>
      <c r="K9305" s="5"/>
    </row>
    <row r="9306">
      <c r="A9306" s="3" t="s">
        <v>8609</v>
      </c>
      <c r="B9306" s="3" t="s">
        <v>8594</v>
      </c>
      <c r="C9306" s="3" t="s">
        <v>8610</v>
      </c>
      <c r="D9306" s="4" t="str">
        <f t="shared" ref="D9306:D9308" si="1068">HYPERLINK("https://12go.asia/en/travel/Altinova-Hotel-Transfer/Adnan-Menderes-Airport", "12Go Link")</f>
        <v>12Go Link</v>
      </c>
      <c r="E9306" s="3" t="s">
        <v>3196</v>
      </c>
      <c r="K9306" s="5"/>
    </row>
    <row r="9307">
      <c r="A9307" s="3" t="s">
        <v>8609</v>
      </c>
      <c r="B9307" s="3" t="s">
        <v>8594</v>
      </c>
      <c r="C9307" s="3" t="s">
        <v>8610</v>
      </c>
      <c r="D9307" s="4" t="str">
        <f t="shared" si="1068"/>
        <v>12Go Link</v>
      </c>
      <c r="E9307" s="3" t="s">
        <v>226</v>
      </c>
      <c r="K9307" s="5"/>
    </row>
    <row r="9308">
      <c r="A9308" s="3" t="s">
        <v>8609</v>
      </c>
      <c r="B9308" s="3" t="s">
        <v>8594</v>
      </c>
      <c r="C9308" s="3" t="s">
        <v>8610</v>
      </c>
      <c r="D9308" s="4" t="str">
        <f t="shared" si="1068"/>
        <v>12Go Link</v>
      </c>
      <c r="E9308" s="3" t="s">
        <v>3203</v>
      </c>
      <c r="K9308" s="5"/>
    </row>
    <row r="9309">
      <c r="A9309" s="3" t="s">
        <v>8611</v>
      </c>
      <c r="B9309" s="3" t="s">
        <v>8566</v>
      </c>
      <c r="C9309" s="3" t="s">
        <v>8612</v>
      </c>
      <c r="D9309" s="4" t="str">
        <f t="shared" ref="D9309:D9310" si="1069">HYPERLINK("https://12go.asia/en/travel/Ankara-Esenboga-Airport/Avanos-Hotel-Transfer", "12Go Link")</f>
        <v>12Go Link</v>
      </c>
      <c r="E9309" s="3" t="s">
        <v>8568</v>
      </c>
      <c r="K9309" s="5"/>
    </row>
    <row r="9310">
      <c r="A9310" s="3" t="s">
        <v>8611</v>
      </c>
      <c r="B9310" s="3" t="s">
        <v>8566</v>
      </c>
      <c r="C9310" s="3" t="s">
        <v>8612</v>
      </c>
      <c r="D9310" s="4" t="str">
        <f t="shared" si="1069"/>
        <v>12Go Link</v>
      </c>
      <c r="E9310" s="3" t="s">
        <v>228</v>
      </c>
      <c r="K9310" s="5"/>
    </row>
    <row r="9311">
      <c r="A9311" s="3" t="s">
        <v>8611</v>
      </c>
      <c r="B9311" s="3" t="s">
        <v>8566</v>
      </c>
      <c r="C9311" s="3" t="s">
        <v>8613</v>
      </c>
      <c r="D9311" s="4" t="str">
        <f t="shared" ref="D9311:D9312" si="1070">HYPERLINK("https://12go.asia/en/travel/Ankara-Hotel-Transfer/Avanos-Hotel-Transfer", "12Go Link")</f>
        <v>12Go Link</v>
      </c>
      <c r="E9311" s="3" t="s">
        <v>8568</v>
      </c>
      <c r="K9311" s="5"/>
    </row>
    <row r="9312">
      <c r="A9312" s="3" t="s">
        <v>8611</v>
      </c>
      <c r="B9312" s="3" t="s">
        <v>8566</v>
      </c>
      <c r="C9312" s="3" t="s">
        <v>8613</v>
      </c>
      <c r="D9312" s="4" t="str">
        <f t="shared" si="1070"/>
        <v>12Go Link</v>
      </c>
      <c r="E9312" s="3" t="s">
        <v>228</v>
      </c>
      <c r="K9312" s="5"/>
    </row>
    <row r="9313">
      <c r="A9313" s="3" t="s">
        <v>8611</v>
      </c>
      <c r="B9313" s="3" t="s">
        <v>8570</v>
      </c>
      <c r="C9313" s="3" t="s">
        <v>8614</v>
      </c>
      <c r="D9313" s="4" t="str">
        <f t="shared" ref="D9313:D9314" si="1071">HYPERLINK("https://12go.asia/en/travel/Ankara-Esenboga-Airport/Cappadocia-Hotel-Transfer", "12Go Link")</f>
        <v>12Go Link</v>
      </c>
      <c r="E9313" s="3" t="s">
        <v>8568</v>
      </c>
      <c r="K9313" s="5"/>
    </row>
    <row r="9314">
      <c r="A9314" s="3" t="s">
        <v>8611</v>
      </c>
      <c r="B9314" s="3" t="s">
        <v>8570</v>
      </c>
      <c r="C9314" s="3" t="s">
        <v>8614</v>
      </c>
      <c r="D9314" s="4" t="str">
        <f t="shared" si="1071"/>
        <v>12Go Link</v>
      </c>
      <c r="E9314" s="3" t="s">
        <v>228</v>
      </c>
      <c r="K9314" s="5"/>
    </row>
    <row r="9315">
      <c r="A9315" s="3" t="s">
        <v>8611</v>
      </c>
      <c r="B9315" s="3" t="s">
        <v>8570</v>
      </c>
      <c r="C9315" s="3" t="s">
        <v>8615</v>
      </c>
      <c r="D9315" s="4" t="str">
        <f t="shared" ref="D9315:D9316" si="1072">HYPERLINK("https://12go.asia/en/travel/Ankara-Hotel-Transfer/Cappadocia-Hotel-Transfer", "12Go Link")</f>
        <v>12Go Link</v>
      </c>
      <c r="E9315" s="3" t="s">
        <v>8568</v>
      </c>
      <c r="K9315" s="5"/>
    </row>
    <row r="9316">
      <c r="A9316" s="3" t="s">
        <v>8611</v>
      </c>
      <c r="B9316" s="3" t="s">
        <v>8570</v>
      </c>
      <c r="C9316" s="3" t="s">
        <v>8615</v>
      </c>
      <c r="D9316" s="4" t="str">
        <f t="shared" si="1072"/>
        <v>12Go Link</v>
      </c>
      <c r="E9316" s="3" t="s">
        <v>228</v>
      </c>
      <c r="K9316" s="5"/>
    </row>
    <row r="9317">
      <c r="A9317" s="3" t="s">
        <v>8611</v>
      </c>
      <c r="B9317" s="3" t="s">
        <v>8573</v>
      </c>
      <c r="C9317" s="3" t="s">
        <v>8616</v>
      </c>
      <c r="D9317" s="4" t="str">
        <f t="shared" ref="D9317:D9318" si="1073">HYPERLINK("https://12go.asia/en/travel/Ankara-Esenboga-Airport/Cavusin-Hotel-Transfer", "12Go Link")</f>
        <v>12Go Link</v>
      </c>
      <c r="E9317" s="3" t="s">
        <v>8568</v>
      </c>
      <c r="K9317" s="5"/>
    </row>
    <row r="9318">
      <c r="A9318" s="3" t="s">
        <v>8611</v>
      </c>
      <c r="B9318" s="3" t="s">
        <v>8573</v>
      </c>
      <c r="C9318" s="3" t="s">
        <v>8616</v>
      </c>
      <c r="D9318" s="4" t="str">
        <f t="shared" si="1073"/>
        <v>12Go Link</v>
      </c>
      <c r="E9318" s="3" t="s">
        <v>228</v>
      </c>
      <c r="K9318" s="5"/>
    </row>
    <row r="9319">
      <c r="A9319" s="3" t="s">
        <v>8611</v>
      </c>
      <c r="B9319" s="3" t="s">
        <v>8573</v>
      </c>
      <c r="C9319" s="3" t="s">
        <v>8617</v>
      </c>
      <c r="D9319" s="4" t="str">
        <f t="shared" ref="D9319:D9320" si="1074">HYPERLINK("https://12go.asia/en/travel/Ankara-Hotel-Transfer/Cavusin-Hotel-Transfer", "12Go Link")</f>
        <v>12Go Link</v>
      </c>
      <c r="E9319" s="3" t="s">
        <v>8568</v>
      </c>
      <c r="K9319" s="5"/>
    </row>
    <row r="9320">
      <c r="A9320" s="3" t="s">
        <v>8611</v>
      </c>
      <c r="B9320" s="3" t="s">
        <v>8573</v>
      </c>
      <c r="C9320" s="3" t="s">
        <v>8617</v>
      </c>
      <c r="D9320" s="4" t="str">
        <f t="shared" si="1074"/>
        <v>12Go Link</v>
      </c>
      <c r="E9320" s="3" t="s">
        <v>228</v>
      </c>
      <c r="K9320" s="5"/>
    </row>
    <row r="9321">
      <c r="A9321" s="3" t="s">
        <v>8611</v>
      </c>
      <c r="B9321" s="3" t="s">
        <v>8576</v>
      </c>
      <c r="C9321" s="3" t="s">
        <v>8618</v>
      </c>
      <c r="D9321" s="4" t="str">
        <f t="shared" ref="D9321:D9322" si="1075">HYPERLINK("https://12go.asia/en/travel/Ankara-Esenboga-Airport/Goreme-Hotel-Transfer", "12Go Link")</f>
        <v>12Go Link</v>
      </c>
      <c r="E9321" s="3" t="s">
        <v>8568</v>
      </c>
      <c r="K9321" s="5"/>
    </row>
    <row r="9322">
      <c r="A9322" s="3" t="s">
        <v>8611</v>
      </c>
      <c r="B9322" s="3" t="s">
        <v>8576</v>
      </c>
      <c r="C9322" s="3" t="s">
        <v>8618</v>
      </c>
      <c r="D9322" s="4" t="str">
        <f t="shared" si="1075"/>
        <v>12Go Link</v>
      </c>
      <c r="E9322" s="3" t="s">
        <v>228</v>
      </c>
      <c r="K9322" s="5"/>
    </row>
    <row r="9323">
      <c r="A9323" s="3" t="s">
        <v>8611</v>
      </c>
      <c r="B9323" s="3" t="s">
        <v>8576</v>
      </c>
      <c r="C9323" s="3" t="s">
        <v>8619</v>
      </c>
      <c r="D9323" s="4" t="str">
        <f t="shared" ref="D9323:D9324" si="1076">HYPERLINK("https://12go.asia/en/travel/Ankara-Hotel-Transfer/Goreme-Hotel-Transfer", "12Go Link")</f>
        <v>12Go Link</v>
      </c>
      <c r="E9323" s="3" t="s">
        <v>8568</v>
      </c>
      <c r="K9323" s="5"/>
    </row>
    <row r="9324">
      <c r="A9324" s="3" t="s">
        <v>8611</v>
      </c>
      <c r="B9324" s="3" t="s">
        <v>8576</v>
      </c>
      <c r="C9324" s="3" t="s">
        <v>8619</v>
      </c>
      <c r="D9324" s="4" t="str">
        <f t="shared" si="1076"/>
        <v>12Go Link</v>
      </c>
      <c r="E9324" s="3" t="s">
        <v>228</v>
      </c>
      <c r="K9324" s="5"/>
    </row>
    <row r="9325">
      <c r="A9325" s="3" t="s">
        <v>8611</v>
      </c>
      <c r="B9325" s="3" t="s">
        <v>8579</v>
      </c>
      <c r="C9325" s="3" t="s">
        <v>8620</v>
      </c>
      <c r="D9325" s="4" t="str">
        <f t="shared" ref="D9325:D9326" si="1077">HYPERLINK("https://12go.asia/en/travel/Ankara-Hotel-Transfer/Kayseri-Airport", "12Go Link")</f>
        <v>12Go Link</v>
      </c>
      <c r="E9325" s="3" t="s">
        <v>3196</v>
      </c>
      <c r="K9325" s="5"/>
    </row>
    <row r="9326">
      <c r="A9326" s="3" t="s">
        <v>8611</v>
      </c>
      <c r="B9326" s="3" t="s">
        <v>8579</v>
      </c>
      <c r="C9326" s="3" t="s">
        <v>8620</v>
      </c>
      <c r="D9326" s="4" t="str">
        <f t="shared" si="1077"/>
        <v>12Go Link</v>
      </c>
      <c r="E9326" s="3" t="s">
        <v>3203</v>
      </c>
      <c r="K9326" s="5"/>
    </row>
    <row r="9327">
      <c r="A9327" s="3" t="s">
        <v>8611</v>
      </c>
      <c r="B9327" s="3" t="s">
        <v>8581</v>
      </c>
      <c r="C9327" s="3" t="s">
        <v>8621</v>
      </c>
      <c r="D9327" s="4" t="str">
        <f t="shared" ref="D9327:D9328" si="1078">HYPERLINK("https://12go.asia/en/travel/Ankara-Esenboga-Airport/Nevsehir-Hotel-Transfer", "12Go Link")</f>
        <v>12Go Link</v>
      </c>
      <c r="E9327" s="3" t="s">
        <v>8568</v>
      </c>
      <c r="K9327" s="5"/>
    </row>
    <row r="9328">
      <c r="A9328" s="3" t="s">
        <v>8611</v>
      </c>
      <c r="B9328" s="3" t="s">
        <v>8581</v>
      </c>
      <c r="C9328" s="3" t="s">
        <v>8621</v>
      </c>
      <c r="D9328" s="4" t="str">
        <f t="shared" si="1078"/>
        <v>12Go Link</v>
      </c>
      <c r="E9328" s="3" t="s">
        <v>228</v>
      </c>
      <c r="K9328" s="5"/>
    </row>
    <row r="9329">
      <c r="A9329" s="3" t="s">
        <v>8611</v>
      </c>
      <c r="B9329" s="3" t="s">
        <v>8581</v>
      </c>
      <c r="C9329" s="3" t="s">
        <v>8622</v>
      </c>
      <c r="D9329" s="4" t="str">
        <f t="shared" ref="D9329:D9330" si="1079">HYPERLINK("https://12go.asia/en/travel/Ankara-Hotel-Transfer/Nevsehir-Hotel-Transfer", "12Go Link")</f>
        <v>12Go Link</v>
      </c>
      <c r="E9329" s="3" t="s">
        <v>8568</v>
      </c>
      <c r="K9329" s="5"/>
    </row>
    <row r="9330">
      <c r="A9330" s="3" t="s">
        <v>8611</v>
      </c>
      <c r="B9330" s="3" t="s">
        <v>8581</v>
      </c>
      <c r="C9330" s="3" t="s">
        <v>8622</v>
      </c>
      <c r="D9330" s="4" t="str">
        <f t="shared" si="1079"/>
        <v>12Go Link</v>
      </c>
      <c r="E9330" s="3" t="s">
        <v>228</v>
      </c>
      <c r="K9330" s="5"/>
    </row>
    <row r="9331">
      <c r="A9331" s="3" t="s">
        <v>8611</v>
      </c>
      <c r="B9331" s="3" t="s">
        <v>8584</v>
      </c>
      <c r="C9331" s="3" t="s">
        <v>8623</v>
      </c>
      <c r="D9331" s="4" t="str">
        <f t="shared" ref="D9331:D9332" si="1080">HYPERLINK("https://12go.asia/en/travel/Ankara-Esenboga-Airport/Ortahisar-Hotel-Transfer", "12Go Link")</f>
        <v>12Go Link</v>
      </c>
      <c r="E9331" s="3" t="s">
        <v>8568</v>
      </c>
      <c r="K9331" s="5"/>
    </row>
    <row r="9332">
      <c r="A9332" s="3" t="s">
        <v>8611</v>
      </c>
      <c r="B9332" s="3" t="s">
        <v>8584</v>
      </c>
      <c r="C9332" s="3" t="s">
        <v>8623</v>
      </c>
      <c r="D9332" s="4" t="str">
        <f t="shared" si="1080"/>
        <v>12Go Link</v>
      </c>
      <c r="E9332" s="3" t="s">
        <v>228</v>
      </c>
      <c r="K9332" s="5"/>
    </row>
    <row r="9333">
      <c r="A9333" s="3" t="s">
        <v>8611</v>
      </c>
      <c r="B9333" s="3" t="s">
        <v>8584</v>
      </c>
      <c r="C9333" s="3" t="s">
        <v>8624</v>
      </c>
      <c r="D9333" s="4" t="str">
        <f t="shared" ref="D9333:D9334" si="1081">HYPERLINK("https://12go.asia/en/travel/Ankara-Hotel-Transfer/Ortahisar-Hotel-Transfer", "12Go Link")</f>
        <v>12Go Link</v>
      </c>
      <c r="E9333" s="3" t="s">
        <v>8568</v>
      </c>
      <c r="K9333" s="5"/>
    </row>
    <row r="9334">
      <c r="A9334" s="3" t="s">
        <v>8611</v>
      </c>
      <c r="B9334" s="3" t="s">
        <v>8584</v>
      </c>
      <c r="C9334" s="3" t="s">
        <v>8624</v>
      </c>
      <c r="D9334" s="4" t="str">
        <f t="shared" si="1081"/>
        <v>12Go Link</v>
      </c>
      <c r="E9334" s="3" t="s">
        <v>228</v>
      </c>
      <c r="K9334" s="5"/>
    </row>
    <row r="9335">
      <c r="A9335" s="3" t="s">
        <v>8611</v>
      </c>
      <c r="B9335" s="3" t="s">
        <v>8587</v>
      </c>
      <c r="C9335" s="3" t="s">
        <v>8625</v>
      </c>
      <c r="D9335" s="4" t="str">
        <f t="shared" ref="D9335:D9336" si="1082">HYPERLINK("https://12go.asia/en/travel/Ankara-Esenboga-Airport/Uchisar-Hotel-Transfer", "12Go Link")</f>
        <v>12Go Link</v>
      </c>
      <c r="E9335" s="3" t="s">
        <v>8568</v>
      </c>
      <c r="K9335" s="5"/>
    </row>
    <row r="9336">
      <c r="A9336" s="3" t="s">
        <v>8611</v>
      </c>
      <c r="B9336" s="3" t="s">
        <v>8587</v>
      </c>
      <c r="C9336" s="3" t="s">
        <v>8625</v>
      </c>
      <c r="D9336" s="4" t="str">
        <f t="shared" si="1082"/>
        <v>12Go Link</v>
      </c>
      <c r="E9336" s="3" t="s">
        <v>228</v>
      </c>
      <c r="K9336" s="5"/>
    </row>
    <row r="9337">
      <c r="A9337" s="3" t="s">
        <v>8611</v>
      </c>
      <c r="B9337" s="3" t="s">
        <v>8587</v>
      </c>
      <c r="C9337" s="3" t="s">
        <v>8626</v>
      </c>
      <c r="D9337" s="4" t="str">
        <f t="shared" ref="D9337:D9338" si="1083">HYPERLINK("https://12go.asia/en/travel/Ankara-Hotel-Transfer/Uchisar-Hotel-Transfer", "12Go Link")</f>
        <v>12Go Link</v>
      </c>
      <c r="E9337" s="3" t="s">
        <v>8568</v>
      </c>
      <c r="K9337" s="5"/>
    </row>
    <row r="9338">
      <c r="A9338" s="3" t="s">
        <v>8611</v>
      </c>
      <c r="B9338" s="3" t="s">
        <v>8587</v>
      </c>
      <c r="C9338" s="3" t="s">
        <v>8626</v>
      </c>
      <c r="D9338" s="4" t="str">
        <f t="shared" si="1083"/>
        <v>12Go Link</v>
      </c>
      <c r="E9338" s="3" t="s">
        <v>228</v>
      </c>
      <c r="K9338" s="5"/>
    </row>
    <row r="9339">
      <c r="A9339" s="3" t="s">
        <v>8611</v>
      </c>
      <c r="B9339" s="3" t="s">
        <v>8590</v>
      </c>
      <c r="C9339" s="3" t="s">
        <v>8627</v>
      </c>
      <c r="D9339" s="4" t="str">
        <f t="shared" ref="D9339:D9340" si="1084">HYPERLINK("https://12go.asia/en/travel/Ankara-Esenboga-Airport/Urgup-Hotel-Transfer", "12Go Link")</f>
        <v>12Go Link</v>
      </c>
      <c r="E9339" s="3" t="s">
        <v>8568</v>
      </c>
      <c r="K9339" s="5"/>
    </row>
    <row r="9340">
      <c r="A9340" s="3" t="s">
        <v>8611</v>
      </c>
      <c r="B9340" s="3" t="s">
        <v>8590</v>
      </c>
      <c r="C9340" s="3" t="s">
        <v>8627</v>
      </c>
      <c r="D9340" s="4" t="str">
        <f t="shared" si="1084"/>
        <v>12Go Link</v>
      </c>
      <c r="E9340" s="3" t="s">
        <v>228</v>
      </c>
      <c r="K9340" s="5"/>
    </row>
    <row r="9341">
      <c r="A9341" s="3" t="s">
        <v>8611</v>
      </c>
      <c r="B9341" s="3" t="s">
        <v>8590</v>
      </c>
      <c r="C9341" s="3" t="s">
        <v>8628</v>
      </c>
      <c r="D9341" s="4" t="str">
        <f t="shared" ref="D9341:D9342" si="1085">HYPERLINK("https://12go.asia/en/travel/Ankara-Hotel-Transfer/Urgup-Hotel-Transfer", "12Go Link")</f>
        <v>12Go Link</v>
      </c>
      <c r="E9341" s="3" t="s">
        <v>8568</v>
      </c>
      <c r="K9341" s="5"/>
    </row>
    <row r="9342">
      <c r="A9342" s="3" t="s">
        <v>8611</v>
      </c>
      <c r="B9342" s="3" t="s">
        <v>8590</v>
      </c>
      <c r="C9342" s="3" t="s">
        <v>8628</v>
      </c>
      <c r="D9342" s="4" t="str">
        <f t="shared" si="1085"/>
        <v>12Go Link</v>
      </c>
      <c r="E9342" s="3" t="s">
        <v>228</v>
      </c>
      <c r="K9342" s="5"/>
    </row>
    <row r="9343">
      <c r="A9343" s="3" t="s">
        <v>8601</v>
      </c>
      <c r="B9343" s="3" t="s">
        <v>8600</v>
      </c>
      <c r="C9343" s="3" t="s">
        <v>8629</v>
      </c>
      <c r="D9343" s="4" t="str">
        <f t="shared" ref="D9343:D9345" si="1086">HYPERLINK("https://12go.asia/en/travel/Antalya-Airport/Alanya-Hotel-Transfer", "12Go Link")</f>
        <v>12Go Link</v>
      </c>
      <c r="E9343" s="3" t="s">
        <v>3196</v>
      </c>
      <c r="K9343" s="5"/>
    </row>
    <row r="9344">
      <c r="A9344" s="3" t="s">
        <v>8601</v>
      </c>
      <c r="B9344" s="3" t="s">
        <v>8600</v>
      </c>
      <c r="C9344" s="3" t="s">
        <v>8629</v>
      </c>
      <c r="D9344" s="4" t="str">
        <f t="shared" si="1086"/>
        <v>12Go Link</v>
      </c>
      <c r="E9344" s="3" t="s">
        <v>226</v>
      </c>
      <c r="K9344" s="5"/>
    </row>
    <row r="9345">
      <c r="A9345" s="3" t="s">
        <v>8601</v>
      </c>
      <c r="B9345" s="3" t="s">
        <v>8600</v>
      </c>
      <c r="C9345" s="3" t="s">
        <v>8629</v>
      </c>
      <c r="D9345" s="4" t="str">
        <f t="shared" si="1086"/>
        <v>12Go Link</v>
      </c>
      <c r="E9345" s="3" t="s">
        <v>3203</v>
      </c>
      <c r="K9345" s="5"/>
    </row>
    <row r="9346">
      <c r="A9346" s="3" t="s">
        <v>8601</v>
      </c>
      <c r="B9346" s="3" t="s">
        <v>8601</v>
      </c>
      <c r="C9346" s="3" t="s">
        <v>8630</v>
      </c>
      <c r="D9346" s="4" t="str">
        <f t="shared" ref="D9346:D9348" si="1087">HYPERLINK("https://12go.asia/en/travel/Antalya-Airport/Antalya-Hotel-Transfer", "12Go Link")</f>
        <v>12Go Link</v>
      </c>
      <c r="E9346" s="3" t="s">
        <v>3196</v>
      </c>
      <c r="K9346" s="5"/>
    </row>
    <row r="9347">
      <c r="A9347" s="3" t="s">
        <v>8601</v>
      </c>
      <c r="B9347" s="3" t="s">
        <v>8601</v>
      </c>
      <c r="C9347" s="3" t="s">
        <v>8630</v>
      </c>
      <c r="D9347" s="4" t="str">
        <f t="shared" si="1087"/>
        <v>12Go Link</v>
      </c>
      <c r="E9347" s="3" t="s">
        <v>226</v>
      </c>
      <c r="K9347" s="5"/>
    </row>
    <row r="9348">
      <c r="A9348" s="3" t="s">
        <v>8601</v>
      </c>
      <c r="B9348" s="3" t="s">
        <v>8601</v>
      </c>
      <c r="C9348" s="3" t="s">
        <v>8630</v>
      </c>
      <c r="D9348" s="4" t="str">
        <f t="shared" si="1087"/>
        <v>12Go Link</v>
      </c>
      <c r="E9348" s="3" t="s">
        <v>3203</v>
      </c>
      <c r="K9348" s="5"/>
    </row>
    <row r="9349">
      <c r="A9349" s="3" t="s">
        <v>8601</v>
      </c>
      <c r="B9349" s="3" t="s">
        <v>8601</v>
      </c>
      <c r="C9349" s="3" t="s">
        <v>8631</v>
      </c>
      <c r="D9349" s="4" t="str">
        <f t="shared" ref="D9349:D9351" si="1088">HYPERLINK("https://12go.asia/en/travel/Antalya-Hotel-Transfer/Antalya-Airport", "12Go Link")</f>
        <v>12Go Link</v>
      </c>
      <c r="E9349" s="3" t="s">
        <v>3196</v>
      </c>
      <c r="K9349" s="5"/>
    </row>
    <row r="9350">
      <c r="A9350" s="3" t="s">
        <v>8601</v>
      </c>
      <c r="B9350" s="3" t="s">
        <v>8601</v>
      </c>
      <c r="C9350" s="3" t="s">
        <v>8631</v>
      </c>
      <c r="D9350" s="4" t="str">
        <f t="shared" si="1088"/>
        <v>12Go Link</v>
      </c>
      <c r="E9350" s="3" t="s">
        <v>226</v>
      </c>
      <c r="K9350" s="5"/>
    </row>
    <row r="9351">
      <c r="A9351" s="3" t="s">
        <v>8601</v>
      </c>
      <c r="B9351" s="3" t="s">
        <v>8601</v>
      </c>
      <c r="C9351" s="3" t="s">
        <v>8631</v>
      </c>
      <c r="D9351" s="4" t="str">
        <f t="shared" si="1088"/>
        <v>12Go Link</v>
      </c>
      <c r="E9351" s="3" t="s">
        <v>3203</v>
      </c>
      <c r="K9351" s="5"/>
    </row>
    <row r="9352">
      <c r="A9352" s="3" t="s">
        <v>8601</v>
      </c>
      <c r="B9352" s="3" t="s">
        <v>8566</v>
      </c>
      <c r="C9352" s="3" t="s">
        <v>8632</v>
      </c>
      <c r="D9352" s="4" t="str">
        <f t="shared" ref="D9352:D9353" si="1089">HYPERLINK("https://12go.asia/en/travel/Antalya-Hotel-Transfer/Avanos-Hotel-Transfer", "12Go Link")</f>
        <v>12Go Link</v>
      </c>
      <c r="E9352" s="3" t="s">
        <v>8568</v>
      </c>
      <c r="K9352" s="5"/>
    </row>
    <row r="9353">
      <c r="A9353" s="3" t="s">
        <v>8601</v>
      </c>
      <c r="B9353" s="3" t="s">
        <v>8566</v>
      </c>
      <c r="C9353" s="3" t="s">
        <v>8632</v>
      </c>
      <c r="D9353" s="4" t="str">
        <f t="shared" si="1089"/>
        <v>12Go Link</v>
      </c>
      <c r="E9353" s="3" t="s">
        <v>228</v>
      </c>
      <c r="K9353" s="5"/>
    </row>
    <row r="9354">
      <c r="A9354" s="3" t="s">
        <v>8601</v>
      </c>
      <c r="B9354" s="3" t="s">
        <v>8633</v>
      </c>
      <c r="C9354" s="3" t="s">
        <v>8634</v>
      </c>
      <c r="D9354" s="4" t="str">
        <f t="shared" ref="D9354:D9356" si="1090">HYPERLINK("https://12go.asia/en/travel/Antalya-Airport/Avsallar-Hotel-Transfer", "12Go Link")</f>
        <v>12Go Link</v>
      </c>
      <c r="E9354" s="3" t="s">
        <v>3196</v>
      </c>
      <c r="K9354" s="5"/>
    </row>
    <row r="9355">
      <c r="A9355" s="3" t="s">
        <v>8601</v>
      </c>
      <c r="B9355" s="3" t="s">
        <v>8633</v>
      </c>
      <c r="C9355" s="3" t="s">
        <v>8634</v>
      </c>
      <c r="D9355" s="4" t="str">
        <f t="shared" si="1090"/>
        <v>12Go Link</v>
      </c>
      <c r="E9355" s="3" t="s">
        <v>226</v>
      </c>
      <c r="K9355" s="5"/>
    </row>
    <row r="9356">
      <c r="A9356" s="3" t="s">
        <v>8601</v>
      </c>
      <c r="B9356" s="3" t="s">
        <v>8633</v>
      </c>
      <c r="C9356" s="3" t="s">
        <v>8634</v>
      </c>
      <c r="D9356" s="4" t="str">
        <f t="shared" si="1090"/>
        <v>12Go Link</v>
      </c>
      <c r="E9356" s="3" t="s">
        <v>3203</v>
      </c>
      <c r="K9356" s="5"/>
    </row>
    <row r="9357">
      <c r="A9357" s="3" t="s">
        <v>8601</v>
      </c>
      <c r="B9357" s="3" t="s">
        <v>8635</v>
      </c>
      <c r="C9357" s="3" t="s">
        <v>8636</v>
      </c>
      <c r="D9357" s="4" t="str">
        <f t="shared" ref="D9357:D9359" si="1091">HYPERLINK("https://12go.asia/en/travel/Antalya-Airport/Beldibi-Hotel-Transfer", "12Go Link")</f>
        <v>12Go Link</v>
      </c>
      <c r="E9357" s="3" t="s">
        <v>3196</v>
      </c>
      <c r="K9357" s="5"/>
    </row>
    <row r="9358">
      <c r="A9358" s="3" t="s">
        <v>8601</v>
      </c>
      <c r="B9358" s="3" t="s">
        <v>8635</v>
      </c>
      <c r="C9358" s="3" t="s">
        <v>8636</v>
      </c>
      <c r="D9358" s="4" t="str">
        <f t="shared" si="1091"/>
        <v>12Go Link</v>
      </c>
      <c r="E9358" s="3" t="s">
        <v>226</v>
      </c>
      <c r="K9358" s="5"/>
    </row>
    <row r="9359">
      <c r="A9359" s="3" t="s">
        <v>8601</v>
      </c>
      <c r="B9359" s="3" t="s">
        <v>8635</v>
      </c>
      <c r="C9359" s="3" t="s">
        <v>8636</v>
      </c>
      <c r="D9359" s="4" t="str">
        <f t="shared" si="1091"/>
        <v>12Go Link</v>
      </c>
      <c r="E9359" s="3" t="s">
        <v>3203</v>
      </c>
      <c r="K9359" s="5"/>
    </row>
    <row r="9360">
      <c r="A9360" s="3" t="s">
        <v>8601</v>
      </c>
      <c r="B9360" s="3" t="s">
        <v>8637</v>
      </c>
      <c r="C9360" s="3" t="s">
        <v>8638</v>
      </c>
      <c r="D9360" s="4" t="str">
        <f t="shared" ref="D9360:D9362" si="1092">HYPERLINK("https://12go.asia/en/travel/Antalya-Airport/Belek-Hotel-Transfer", "12Go Link")</f>
        <v>12Go Link</v>
      </c>
      <c r="E9360" s="3" t="s">
        <v>3196</v>
      </c>
      <c r="K9360" s="5"/>
    </row>
    <row r="9361">
      <c r="A9361" s="3" t="s">
        <v>8601</v>
      </c>
      <c r="B9361" s="3" t="s">
        <v>8637</v>
      </c>
      <c r="C9361" s="3" t="s">
        <v>8638</v>
      </c>
      <c r="D9361" s="4" t="str">
        <f t="shared" si="1092"/>
        <v>12Go Link</v>
      </c>
      <c r="E9361" s="3" t="s">
        <v>226</v>
      </c>
      <c r="K9361" s="5"/>
    </row>
    <row r="9362">
      <c r="A9362" s="3" t="s">
        <v>8601</v>
      </c>
      <c r="B9362" s="3" t="s">
        <v>8637</v>
      </c>
      <c r="C9362" s="3" t="s">
        <v>8638</v>
      </c>
      <c r="D9362" s="4" t="str">
        <f t="shared" si="1092"/>
        <v>12Go Link</v>
      </c>
      <c r="E9362" s="3" t="s">
        <v>3203</v>
      </c>
      <c r="K9362" s="5"/>
    </row>
    <row r="9363">
      <c r="A9363" s="3" t="s">
        <v>8601</v>
      </c>
      <c r="B9363" s="3" t="s">
        <v>8639</v>
      </c>
      <c r="C9363" s="3" t="s">
        <v>8640</v>
      </c>
      <c r="D9363" s="4" t="str">
        <f t="shared" ref="D9363:D9365" si="1093">HYPERLINK("https://12go.asia/en/travel/Antalya-Airport/Camyuva-Hotel-Transfer", "12Go Link")</f>
        <v>12Go Link</v>
      </c>
      <c r="E9363" s="3" t="s">
        <v>3196</v>
      </c>
      <c r="K9363" s="5"/>
    </row>
    <row r="9364">
      <c r="A9364" s="3" t="s">
        <v>8601</v>
      </c>
      <c r="B9364" s="3" t="s">
        <v>8639</v>
      </c>
      <c r="C9364" s="3" t="s">
        <v>8640</v>
      </c>
      <c r="D9364" s="4" t="str">
        <f t="shared" si="1093"/>
        <v>12Go Link</v>
      </c>
      <c r="E9364" s="3" t="s">
        <v>226</v>
      </c>
      <c r="K9364" s="5"/>
    </row>
    <row r="9365">
      <c r="A9365" s="3" t="s">
        <v>8601</v>
      </c>
      <c r="B9365" s="3" t="s">
        <v>8639</v>
      </c>
      <c r="C9365" s="3" t="s">
        <v>8640</v>
      </c>
      <c r="D9365" s="4" t="str">
        <f t="shared" si="1093"/>
        <v>12Go Link</v>
      </c>
      <c r="E9365" s="3" t="s">
        <v>3203</v>
      </c>
      <c r="K9365" s="5"/>
    </row>
    <row r="9366">
      <c r="A9366" s="3" t="s">
        <v>8601</v>
      </c>
      <c r="B9366" s="3" t="s">
        <v>8570</v>
      </c>
      <c r="C9366" s="3" t="s">
        <v>8641</v>
      </c>
      <c r="D9366" s="4" t="str">
        <f t="shared" ref="D9366:D9367" si="1094">HYPERLINK("https://12go.asia/en/travel/Antalya-Hotel-Transfer/Cappadocia-Hotel-Transfer", "12Go Link")</f>
        <v>12Go Link</v>
      </c>
      <c r="E9366" s="3" t="s">
        <v>8568</v>
      </c>
      <c r="K9366" s="5"/>
    </row>
    <row r="9367">
      <c r="A9367" s="3" t="s">
        <v>8601</v>
      </c>
      <c r="B9367" s="3" t="s">
        <v>8570</v>
      </c>
      <c r="C9367" s="3" t="s">
        <v>8641</v>
      </c>
      <c r="D9367" s="4" t="str">
        <f t="shared" si="1094"/>
        <v>12Go Link</v>
      </c>
      <c r="E9367" s="3" t="s">
        <v>228</v>
      </c>
      <c r="K9367" s="5"/>
    </row>
    <row r="9368">
      <c r="A9368" s="3" t="s">
        <v>8601</v>
      </c>
      <c r="B9368" s="3" t="s">
        <v>8573</v>
      </c>
      <c r="C9368" s="3" t="s">
        <v>8642</v>
      </c>
      <c r="D9368" s="4" t="str">
        <f t="shared" ref="D9368:D9369" si="1095">HYPERLINK("https://12go.asia/en/travel/Antalya-Hotel-Transfer/Cavusin-Hotel-Transfer", "12Go Link")</f>
        <v>12Go Link</v>
      </c>
      <c r="E9368" s="3" t="s">
        <v>8568</v>
      </c>
      <c r="K9368" s="5"/>
    </row>
    <row r="9369">
      <c r="A9369" s="3" t="s">
        <v>8601</v>
      </c>
      <c r="B9369" s="3" t="s">
        <v>8573</v>
      </c>
      <c r="C9369" s="3" t="s">
        <v>8642</v>
      </c>
      <c r="D9369" s="4" t="str">
        <f t="shared" si="1095"/>
        <v>12Go Link</v>
      </c>
      <c r="E9369" s="3" t="s">
        <v>228</v>
      </c>
      <c r="K9369" s="5"/>
    </row>
    <row r="9370">
      <c r="A9370" s="3" t="s">
        <v>8601</v>
      </c>
      <c r="B9370" s="3" t="s">
        <v>8643</v>
      </c>
      <c r="C9370" s="3" t="s">
        <v>8644</v>
      </c>
      <c r="D9370" s="4" t="str">
        <f t="shared" ref="D9370:D9372" si="1096">HYPERLINK("https://12go.asia/en/travel/Antalya-Airport/Gazipasa-Hotel-Transfer", "12Go Link")</f>
        <v>12Go Link</v>
      </c>
      <c r="E9370" s="3" t="s">
        <v>3196</v>
      </c>
      <c r="K9370" s="5"/>
    </row>
    <row r="9371">
      <c r="A9371" s="3" t="s">
        <v>8601</v>
      </c>
      <c r="B9371" s="3" t="s">
        <v>8643</v>
      </c>
      <c r="C9371" s="3" t="s">
        <v>8644</v>
      </c>
      <c r="D9371" s="4" t="str">
        <f t="shared" si="1096"/>
        <v>12Go Link</v>
      </c>
      <c r="E9371" s="3" t="s">
        <v>226</v>
      </c>
      <c r="K9371" s="5"/>
    </row>
    <row r="9372">
      <c r="A9372" s="3" t="s">
        <v>8601</v>
      </c>
      <c r="B9372" s="3" t="s">
        <v>8643</v>
      </c>
      <c r="C9372" s="3" t="s">
        <v>8644</v>
      </c>
      <c r="D9372" s="4" t="str">
        <f t="shared" si="1096"/>
        <v>12Go Link</v>
      </c>
      <c r="E9372" s="3" t="s">
        <v>3203</v>
      </c>
      <c r="K9372" s="5"/>
    </row>
    <row r="9373">
      <c r="A9373" s="3" t="s">
        <v>8601</v>
      </c>
      <c r="B9373" s="3" t="s">
        <v>8576</v>
      </c>
      <c r="C9373" s="3" t="s">
        <v>8645</v>
      </c>
      <c r="D9373" s="4" t="str">
        <f t="shared" ref="D9373:D9375" si="1097">HYPERLINK("https://12go.asia/en/travel/Antalya-Hotel-Transfer/Goreme-Hotel-Transfer", "12Go Link")</f>
        <v>12Go Link</v>
      </c>
      <c r="E9373" s="3" t="s">
        <v>8568</v>
      </c>
      <c r="K9373" s="5"/>
    </row>
    <row r="9374">
      <c r="A9374" s="3" t="s">
        <v>8601</v>
      </c>
      <c r="B9374" s="3" t="s">
        <v>8576</v>
      </c>
      <c r="C9374" s="3" t="s">
        <v>8645</v>
      </c>
      <c r="D9374" s="4" t="str">
        <f t="shared" si="1097"/>
        <v>12Go Link</v>
      </c>
      <c r="E9374" s="3" t="s">
        <v>3481</v>
      </c>
      <c r="K9374" s="5"/>
    </row>
    <row r="9375">
      <c r="A9375" s="3" t="s">
        <v>8601</v>
      </c>
      <c r="B9375" s="3" t="s">
        <v>8576</v>
      </c>
      <c r="C9375" s="3" t="s">
        <v>8645</v>
      </c>
      <c r="D9375" s="4" t="str">
        <f t="shared" si="1097"/>
        <v>12Go Link</v>
      </c>
      <c r="E9375" s="3" t="s">
        <v>228</v>
      </c>
      <c r="K9375" s="5"/>
    </row>
    <row r="9376">
      <c r="A9376" s="3" t="s">
        <v>8601</v>
      </c>
      <c r="B9376" s="3" t="s">
        <v>8646</v>
      </c>
      <c r="C9376" s="3" t="s">
        <v>8647</v>
      </c>
      <c r="D9376" s="4" t="str">
        <f t="shared" ref="D9376:D9378" si="1098">HYPERLINK("https://12go.asia/en/travel/Antalya-Airport/Goynuk-Hotel-Transfer", "12Go Link")</f>
        <v>12Go Link</v>
      </c>
      <c r="E9376" s="3" t="s">
        <v>3196</v>
      </c>
      <c r="K9376" s="5"/>
    </row>
    <row r="9377">
      <c r="A9377" s="3" t="s">
        <v>8601</v>
      </c>
      <c r="B9377" s="3" t="s">
        <v>8646</v>
      </c>
      <c r="C9377" s="3" t="s">
        <v>8647</v>
      </c>
      <c r="D9377" s="4" t="str">
        <f t="shared" si="1098"/>
        <v>12Go Link</v>
      </c>
      <c r="E9377" s="3" t="s">
        <v>226</v>
      </c>
      <c r="K9377" s="5"/>
    </row>
    <row r="9378">
      <c r="A9378" s="3" t="s">
        <v>8601</v>
      </c>
      <c r="B9378" s="3" t="s">
        <v>8646</v>
      </c>
      <c r="C9378" s="3" t="s">
        <v>8647</v>
      </c>
      <c r="D9378" s="4" t="str">
        <f t="shared" si="1098"/>
        <v>12Go Link</v>
      </c>
      <c r="E9378" s="3" t="s">
        <v>3203</v>
      </c>
      <c r="K9378" s="5"/>
    </row>
    <row r="9379">
      <c r="A9379" s="3" t="s">
        <v>8601</v>
      </c>
      <c r="B9379" s="3" t="s">
        <v>8579</v>
      </c>
      <c r="C9379" s="3" t="s">
        <v>8648</v>
      </c>
      <c r="D9379" s="4" t="str">
        <f t="shared" ref="D9379:D9380" si="1099">HYPERLINK("https://12go.asia/en/travel/Antalya-Hotel-Transfer/Kayseri-Airport", "12Go Link")</f>
        <v>12Go Link</v>
      </c>
      <c r="E9379" s="3" t="s">
        <v>3196</v>
      </c>
      <c r="K9379" s="5"/>
    </row>
    <row r="9380">
      <c r="A9380" s="3" t="s">
        <v>8601</v>
      </c>
      <c r="B9380" s="3" t="s">
        <v>8579</v>
      </c>
      <c r="C9380" s="3" t="s">
        <v>8648</v>
      </c>
      <c r="D9380" s="4" t="str">
        <f t="shared" si="1099"/>
        <v>12Go Link</v>
      </c>
      <c r="E9380" s="3" t="s">
        <v>3203</v>
      </c>
      <c r="K9380" s="5"/>
    </row>
    <row r="9381">
      <c r="A9381" s="3" t="s">
        <v>8601</v>
      </c>
      <c r="B9381" s="3" t="s">
        <v>8649</v>
      </c>
      <c r="C9381" s="3" t="s">
        <v>8650</v>
      </c>
      <c r="D9381" s="4" t="str">
        <f t="shared" ref="D9381:D9383" si="1100">HYPERLINK("https://12go.asia/en/travel/Antalya-Airport/Kemer-Hotel-Transfer", "12Go Link")</f>
        <v>12Go Link</v>
      </c>
      <c r="E9381" s="3" t="s">
        <v>3196</v>
      </c>
      <c r="K9381" s="5"/>
    </row>
    <row r="9382">
      <c r="A9382" s="3" t="s">
        <v>8601</v>
      </c>
      <c r="B9382" s="3" t="s">
        <v>8649</v>
      </c>
      <c r="C9382" s="3" t="s">
        <v>8650</v>
      </c>
      <c r="D9382" s="4" t="str">
        <f t="shared" si="1100"/>
        <v>12Go Link</v>
      </c>
      <c r="E9382" s="3" t="s">
        <v>226</v>
      </c>
      <c r="K9382" s="5"/>
    </row>
    <row r="9383">
      <c r="A9383" s="3" t="s">
        <v>8601</v>
      </c>
      <c r="B9383" s="3" t="s">
        <v>8649</v>
      </c>
      <c r="C9383" s="3" t="s">
        <v>8650</v>
      </c>
      <c r="D9383" s="4" t="str">
        <f t="shared" si="1100"/>
        <v>12Go Link</v>
      </c>
      <c r="E9383" s="3" t="s">
        <v>3203</v>
      </c>
      <c r="K9383" s="5"/>
    </row>
    <row r="9384">
      <c r="A9384" s="3" t="s">
        <v>8601</v>
      </c>
      <c r="B9384" s="3" t="s">
        <v>8651</v>
      </c>
      <c r="C9384" s="3" t="s">
        <v>8652</v>
      </c>
      <c r="D9384" s="4" t="str">
        <f t="shared" ref="D9384:D9386" si="1101">HYPERLINK("https://12go.asia/en/travel/Antalya-Airport/Kestel-Hotel-Transfer", "12Go Link")</f>
        <v>12Go Link</v>
      </c>
      <c r="E9384" s="3" t="s">
        <v>3196</v>
      </c>
      <c r="K9384" s="5"/>
    </row>
    <row r="9385">
      <c r="A9385" s="3" t="s">
        <v>8601</v>
      </c>
      <c r="B9385" s="3" t="s">
        <v>8651</v>
      </c>
      <c r="C9385" s="3" t="s">
        <v>8652</v>
      </c>
      <c r="D9385" s="4" t="str">
        <f t="shared" si="1101"/>
        <v>12Go Link</v>
      </c>
      <c r="E9385" s="3" t="s">
        <v>226</v>
      </c>
      <c r="K9385" s="5"/>
    </row>
    <row r="9386">
      <c r="A9386" s="3" t="s">
        <v>8601</v>
      </c>
      <c r="B9386" s="3" t="s">
        <v>8651</v>
      </c>
      <c r="C9386" s="3" t="s">
        <v>8652</v>
      </c>
      <c r="D9386" s="4" t="str">
        <f t="shared" si="1101"/>
        <v>12Go Link</v>
      </c>
      <c r="E9386" s="3" t="s">
        <v>3203</v>
      </c>
      <c r="K9386" s="5"/>
    </row>
    <row r="9387">
      <c r="A9387" s="3" t="s">
        <v>8601</v>
      </c>
      <c r="B9387" s="3" t="s">
        <v>8653</v>
      </c>
      <c r="C9387" s="3" t="s">
        <v>8654</v>
      </c>
      <c r="D9387" s="4" t="str">
        <f t="shared" ref="D9387:D9389" si="1102">HYPERLINK("https://12go.asia/en/travel/Antalya-Airport/Kiris-Hotel-Transfer", "12Go Link")</f>
        <v>12Go Link</v>
      </c>
      <c r="E9387" s="3" t="s">
        <v>3196</v>
      </c>
      <c r="K9387" s="5"/>
    </row>
    <row r="9388">
      <c r="A9388" s="3" t="s">
        <v>8601</v>
      </c>
      <c r="B9388" s="3" t="s">
        <v>8653</v>
      </c>
      <c r="C9388" s="3" t="s">
        <v>8654</v>
      </c>
      <c r="D9388" s="4" t="str">
        <f t="shared" si="1102"/>
        <v>12Go Link</v>
      </c>
      <c r="E9388" s="3" t="s">
        <v>226</v>
      </c>
      <c r="K9388" s="5"/>
    </row>
    <row r="9389">
      <c r="A9389" s="3" t="s">
        <v>8601</v>
      </c>
      <c r="B9389" s="3" t="s">
        <v>8653</v>
      </c>
      <c r="C9389" s="3" t="s">
        <v>8654</v>
      </c>
      <c r="D9389" s="4" t="str">
        <f t="shared" si="1102"/>
        <v>12Go Link</v>
      </c>
      <c r="E9389" s="3" t="s">
        <v>3203</v>
      </c>
      <c r="K9389" s="5"/>
    </row>
    <row r="9390">
      <c r="A9390" s="3" t="s">
        <v>8601</v>
      </c>
      <c r="B9390" s="3" t="s">
        <v>8655</v>
      </c>
      <c r="C9390" s="3" t="s">
        <v>8656</v>
      </c>
      <c r="D9390" s="4" t="str">
        <f t="shared" ref="D9390:D9392" si="1103">HYPERLINK("https://12go.asia/en/travel/Antalya-Airport/Konakli-Hotel-Transfer", "12Go Link")</f>
        <v>12Go Link</v>
      </c>
      <c r="E9390" s="3" t="s">
        <v>3196</v>
      </c>
      <c r="K9390" s="5"/>
    </row>
    <row r="9391">
      <c r="A9391" s="3" t="s">
        <v>8601</v>
      </c>
      <c r="B9391" s="3" t="s">
        <v>8655</v>
      </c>
      <c r="C9391" s="3" t="s">
        <v>8656</v>
      </c>
      <c r="D9391" s="4" t="str">
        <f t="shared" si="1103"/>
        <v>12Go Link</v>
      </c>
      <c r="E9391" s="3" t="s">
        <v>226</v>
      </c>
      <c r="K9391" s="5"/>
    </row>
    <row r="9392">
      <c r="A9392" s="3" t="s">
        <v>8601</v>
      </c>
      <c r="B9392" s="3" t="s">
        <v>8655</v>
      </c>
      <c r="C9392" s="3" t="s">
        <v>8656</v>
      </c>
      <c r="D9392" s="4" t="str">
        <f t="shared" si="1103"/>
        <v>12Go Link</v>
      </c>
      <c r="E9392" s="3" t="s">
        <v>3203</v>
      </c>
      <c r="K9392" s="5"/>
    </row>
    <row r="9393">
      <c r="A9393" s="3" t="s">
        <v>8601</v>
      </c>
      <c r="B9393" s="3" t="s">
        <v>8657</v>
      </c>
      <c r="C9393" s="3" t="s">
        <v>8658</v>
      </c>
      <c r="D9393" s="4" t="str">
        <f t="shared" ref="D9393:D9395" si="1104">HYPERLINK("https://12go.asia/en/travel/Antalya-Airport/Kumkoy-Hotel-Transfer", "12Go Link")</f>
        <v>12Go Link</v>
      </c>
      <c r="E9393" s="3" t="s">
        <v>3196</v>
      </c>
      <c r="K9393" s="5"/>
    </row>
    <row r="9394">
      <c r="A9394" s="3" t="s">
        <v>8601</v>
      </c>
      <c r="B9394" s="3" t="s">
        <v>8657</v>
      </c>
      <c r="C9394" s="3" t="s">
        <v>8658</v>
      </c>
      <c r="D9394" s="4" t="str">
        <f t="shared" si="1104"/>
        <v>12Go Link</v>
      </c>
      <c r="E9394" s="3" t="s">
        <v>226</v>
      </c>
      <c r="K9394" s="5"/>
    </row>
    <row r="9395">
      <c r="A9395" s="3" t="s">
        <v>8601</v>
      </c>
      <c r="B9395" s="3" t="s">
        <v>8657</v>
      </c>
      <c r="C9395" s="3" t="s">
        <v>8658</v>
      </c>
      <c r="D9395" s="4" t="str">
        <f t="shared" si="1104"/>
        <v>12Go Link</v>
      </c>
      <c r="E9395" s="3" t="s">
        <v>3203</v>
      </c>
      <c r="K9395" s="5"/>
    </row>
    <row r="9396">
      <c r="A9396" s="3" t="s">
        <v>8601</v>
      </c>
      <c r="B9396" s="3" t="s">
        <v>8659</v>
      </c>
      <c r="C9396" s="3" t="s">
        <v>8660</v>
      </c>
      <c r="D9396" s="4" t="str">
        <f t="shared" ref="D9396:D9398" si="1105">HYPERLINK("https://12go.asia/en/travel/Antalya-Airport/Mahmutlar-Hotel-Transfer", "12Go Link")</f>
        <v>12Go Link</v>
      </c>
      <c r="E9396" s="3" t="s">
        <v>3196</v>
      </c>
      <c r="K9396" s="5"/>
    </row>
    <row r="9397">
      <c r="A9397" s="3" t="s">
        <v>8601</v>
      </c>
      <c r="B9397" s="3" t="s">
        <v>8659</v>
      </c>
      <c r="C9397" s="3" t="s">
        <v>8660</v>
      </c>
      <c r="D9397" s="4" t="str">
        <f t="shared" si="1105"/>
        <v>12Go Link</v>
      </c>
      <c r="E9397" s="3" t="s">
        <v>226</v>
      </c>
      <c r="K9397" s="5"/>
    </row>
    <row r="9398">
      <c r="A9398" s="3" t="s">
        <v>8601</v>
      </c>
      <c r="B9398" s="3" t="s">
        <v>8659</v>
      </c>
      <c r="C9398" s="3" t="s">
        <v>8660</v>
      </c>
      <c r="D9398" s="4" t="str">
        <f t="shared" si="1105"/>
        <v>12Go Link</v>
      </c>
      <c r="E9398" s="3" t="s">
        <v>3203</v>
      </c>
      <c r="K9398" s="5"/>
    </row>
    <row r="9399">
      <c r="A9399" s="3" t="s">
        <v>8601</v>
      </c>
      <c r="B9399" s="3" t="s">
        <v>8581</v>
      </c>
      <c r="C9399" s="3" t="s">
        <v>8661</v>
      </c>
      <c r="D9399" s="4" t="str">
        <f t="shared" ref="D9399:D9400" si="1106">HYPERLINK("https://12go.asia/en/travel/Antalya-Hotel-Transfer/Nevsehir-Hotel-Transfer", "12Go Link")</f>
        <v>12Go Link</v>
      </c>
      <c r="E9399" s="3" t="s">
        <v>8568</v>
      </c>
      <c r="K9399" s="5"/>
    </row>
    <row r="9400">
      <c r="A9400" s="3" t="s">
        <v>8601</v>
      </c>
      <c r="B9400" s="3" t="s">
        <v>8581</v>
      </c>
      <c r="C9400" s="3" t="s">
        <v>8661</v>
      </c>
      <c r="D9400" s="4" t="str">
        <f t="shared" si="1106"/>
        <v>12Go Link</v>
      </c>
      <c r="E9400" s="3" t="s">
        <v>228</v>
      </c>
      <c r="K9400" s="5"/>
    </row>
    <row r="9401">
      <c r="A9401" s="3" t="s">
        <v>8601</v>
      </c>
      <c r="B9401" s="3" t="s">
        <v>8662</v>
      </c>
      <c r="C9401" s="3" t="s">
        <v>8663</v>
      </c>
      <c r="D9401" s="4" t="str">
        <f t="shared" ref="D9401:D9403" si="1107">HYPERLINK("https://12go.asia/en/travel/Antalya-Airport/Okurcalar-Hotel-Transfer", "12Go Link")</f>
        <v>12Go Link</v>
      </c>
      <c r="E9401" s="3" t="s">
        <v>3196</v>
      </c>
      <c r="K9401" s="5"/>
    </row>
    <row r="9402">
      <c r="A9402" s="3" t="s">
        <v>8601</v>
      </c>
      <c r="B9402" s="3" t="s">
        <v>8662</v>
      </c>
      <c r="C9402" s="3" t="s">
        <v>8663</v>
      </c>
      <c r="D9402" s="4" t="str">
        <f t="shared" si="1107"/>
        <v>12Go Link</v>
      </c>
      <c r="E9402" s="3" t="s">
        <v>226</v>
      </c>
      <c r="K9402" s="5"/>
    </row>
    <row r="9403">
      <c r="A9403" s="3" t="s">
        <v>8601</v>
      </c>
      <c r="B9403" s="3" t="s">
        <v>8662</v>
      </c>
      <c r="C9403" s="3" t="s">
        <v>8663</v>
      </c>
      <c r="D9403" s="4" t="str">
        <f t="shared" si="1107"/>
        <v>12Go Link</v>
      </c>
      <c r="E9403" s="3" t="s">
        <v>3203</v>
      </c>
      <c r="K9403" s="5"/>
    </row>
    <row r="9404">
      <c r="A9404" s="3" t="s">
        <v>8601</v>
      </c>
      <c r="B9404" s="3" t="s">
        <v>8584</v>
      </c>
      <c r="C9404" s="3" t="s">
        <v>8664</v>
      </c>
      <c r="D9404" s="4" t="str">
        <f t="shared" ref="D9404:D9405" si="1108">HYPERLINK("https://12go.asia/en/travel/Antalya-Hotel-Transfer/Ortahisar-Hotel-Transfer", "12Go Link")</f>
        <v>12Go Link</v>
      </c>
      <c r="E9404" s="3" t="s">
        <v>8568</v>
      </c>
      <c r="K9404" s="5"/>
    </row>
    <row r="9405">
      <c r="A9405" s="3" t="s">
        <v>8601</v>
      </c>
      <c r="B9405" s="3" t="s">
        <v>8584</v>
      </c>
      <c r="C9405" s="3" t="s">
        <v>8664</v>
      </c>
      <c r="D9405" s="4" t="str">
        <f t="shared" si="1108"/>
        <v>12Go Link</v>
      </c>
      <c r="E9405" s="3" t="s">
        <v>228</v>
      </c>
      <c r="K9405" s="5"/>
    </row>
    <row r="9406">
      <c r="A9406" s="3" t="s">
        <v>8601</v>
      </c>
      <c r="B9406" s="3" t="s">
        <v>8665</v>
      </c>
      <c r="C9406" s="3" t="s">
        <v>8666</v>
      </c>
      <c r="D9406" s="4" t="str">
        <f t="shared" ref="D9406:D9408" si="1109">HYPERLINK("https://12go.asia/en/travel/Antalya-Airport/Payallar-Hotel-Transfer", "12Go Link")</f>
        <v>12Go Link</v>
      </c>
      <c r="E9406" s="3" t="s">
        <v>3196</v>
      </c>
      <c r="K9406" s="5"/>
    </row>
    <row r="9407">
      <c r="A9407" s="3" t="s">
        <v>8601</v>
      </c>
      <c r="B9407" s="3" t="s">
        <v>8665</v>
      </c>
      <c r="C9407" s="3" t="s">
        <v>8666</v>
      </c>
      <c r="D9407" s="4" t="str">
        <f t="shared" si="1109"/>
        <v>12Go Link</v>
      </c>
      <c r="E9407" s="3" t="s">
        <v>226</v>
      </c>
      <c r="K9407" s="5"/>
    </row>
    <row r="9408">
      <c r="A9408" s="3" t="s">
        <v>8601</v>
      </c>
      <c r="B9408" s="3" t="s">
        <v>8665</v>
      </c>
      <c r="C9408" s="3" t="s">
        <v>8666</v>
      </c>
      <c r="D9408" s="4" t="str">
        <f t="shared" si="1109"/>
        <v>12Go Link</v>
      </c>
      <c r="E9408" s="3" t="s">
        <v>3203</v>
      </c>
      <c r="K9408" s="5"/>
    </row>
    <row r="9409">
      <c r="A9409" s="3" t="s">
        <v>8601</v>
      </c>
      <c r="B9409" s="3" t="s">
        <v>8667</v>
      </c>
      <c r="C9409" s="3" t="s">
        <v>8668</v>
      </c>
      <c r="D9409" s="4" t="str">
        <f t="shared" ref="D9409:D9411" si="1110">HYPERLINK("https://12go.asia/en/travel/Antalya-Airport/Serik-Hotel-Transfer", "12Go Link")</f>
        <v>12Go Link</v>
      </c>
      <c r="E9409" s="3" t="s">
        <v>3196</v>
      </c>
      <c r="K9409" s="5"/>
    </row>
    <row r="9410">
      <c r="A9410" s="3" t="s">
        <v>8601</v>
      </c>
      <c r="B9410" s="3" t="s">
        <v>8667</v>
      </c>
      <c r="C9410" s="3" t="s">
        <v>8668</v>
      </c>
      <c r="D9410" s="4" t="str">
        <f t="shared" si="1110"/>
        <v>12Go Link</v>
      </c>
      <c r="E9410" s="3" t="s">
        <v>226</v>
      </c>
      <c r="K9410" s="5"/>
    </row>
    <row r="9411">
      <c r="A9411" s="3" t="s">
        <v>8601</v>
      </c>
      <c r="B9411" s="3" t="s">
        <v>8667</v>
      </c>
      <c r="C9411" s="3" t="s">
        <v>8668</v>
      </c>
      <c r="D9411" s="4" t="str">
        <f t="shared" si="1110"/>
        <v>12Go Link</v>
      </c>
      <c r="E9411" s="3" t="s">
        <v>3203</v>
      </c>
      <c r="K9411" s="5"/>
    </row>
    <row r="9412">
      <c r="A9412" s="3" t="s">
        <v>8601</v>
      </c>
      <c r="B9412" s="3" t="s">
        <v>8669</v>
      </c>
      <c r="C9412" s="3" t="s">
        <v>8670</v>
      </c>
      <c r="D9412" s="4" t="str">
        <f t="shared" ref="D9412:D9414" si="1111">HYPERLINK("https://12go.asia/en/travel/Antalya-Airport/Side-Hotel-Transfer", "12Go Link")</f>
        <v>12Go Link</v>
      </c>
      <c r="E9412" s="3" t="s">
        <v>3196</v>
      </c>
      <c r="K9412" s="5"/>
    </row>
    <row r="9413">
      <c r="A9413" s="3" t="s">
        <v>8601</v>
      </c>
      <c r="B9413" s="3" t="s">
        <v>8669</v>
      </c>
      <c r="C9413" s="3" t="s">
        <v>8670</v>
      </c>
      <c r="D9413" s="4" t="str">
        <f t="shared" si="1111"/>
        <v>12Go Link</v>
      </c>
      <c r="E9413" s="3" t="s">
        <v>226</v>
      </c>
      <c r="K9413" s="5"/>
    </row>
    <row r="9414">
      <c r="A9414" s="3" t="s">
        <v>8601</v>
      </c>
      <c r="B9414" s="3" t="s">
        <v>8669</v>
      </c>
      <c r="C9414" s="3" t="s">
        <v>8670</v>
      </c>
      <c r="D9414" s="4" t="str">
        <f t="shared" si="1111"/>
        <v>12Go Link</v>
      </c>
      <c r="E9414" s="3" t="s">
        <v>3203</v>
      </c>
      <c r="K9414" s="5"/>
    </row>
    <row r="9415">
      <c r="A9415" s="3" t="s">
        <v>8601</v>
      </c>
      <c r="B9415" s="3" t="s">
        <v>8587</v>
      </c>
      <c r="C9415" s="3" t="s">
        <v>8671</v>
      </c>
      <c r="D9415" s="4" t="str">
        <f t="shared" ref="D9415:D9416" si="1112">HYPERLINK("https://12go.asia/en/travel/Antalya-Hotel-Transfer/Uchisar-Hotel-Transfer", "12Go Link")</f>
        <v>12Go Link</v>
      </c>
      <c r="E9415" s="3" t="s">
        <v>8568</v>
      </c>
      <c r="K9415" s="5"/>
    </row>
    <row r="9416">
      <c r="A9416" s="3" t="s">
        <v>8601</v>
      </c>
      <c r="B9416" s="3" t="s">
        <v>8587</v>
      </c>
      <c r="C9416" s="3" t="s">
        <v>8671</v>
      </c>
      <c r="D9416" s="4" t="str">
        <f t="shared" si="1112"/>
        <v>12Go Link</v>
      </c>
      <c r="E9416" s="3" t="s">
        <v>228</v>
      </c>
      <c r="K9416" s="5"/>
    </row>
    <row r="9417">
      <c r="A9417" s="3" t="s">
        <v>8601</v>
      </c>
      <c r="B9417" s="3" t="s">
        <v>8590</v>
      </c>
      <c r="C9417" s="3" t="s">
        <v>8672</v>
      </c>
      <c r="D9417" s="4" t="str">
        <f t="shared" ref="D9417:D9418" si="1113">HYPERLINK("https://12go.asia/en/travel/Antalya-Hotel-Transfer/Urgup-Hotel-Transfer", "12Go Link")</f>
        <v>12Go Link</v>
      </c>
      <c r="E9417" s="3" t="s">
        <v>8568</v>
      </c>
      <c r="K9417" s="5"/>
    </row>
    <row r="9418">
      <c r="A9418" s="3" t="s">
        <v>8601</v>
      </c>
      <c r="B9418" s="3" t="s">
        <v>8590</v>
      </c>
      <c r="C9418" s="3" t="s">
        <v>8672</v>
      </c>
      <c r="D9418" s="4" t="str">
        <f t="shared" si="1113"/>
        <v>12Go Link</v>
      </c>
      <c r="E9418" s="3" t="s">
        <v>228</v>
      </c>
      <c r="K9418" s="5"/>
    </row>
    <row r="9419">
      <c r="A9419" s="3" t="s">
        <v>8673</v>
      </c>
      <c r="B9419" s="3" t="s">
        <v>8594</v>
      </c>
      <c r="C9419" s="3" t="s">
        <v>8674</v>
      </c>
      <c r="D9419" s="4" t="str">
        <f t="shared" ref="D9419:D9421" si="1114">HYPERLINK("https://12go.asia/en/travel/Assos-Behram-Hotel-Transfer/Adnan-Menderes-Airport", "12Go Link")</f>
        <v>12Go Link</v>
      </c>
      <c r="E9419" s="3" t="s">
        <v>3196</v>
      </c>
      <c r="K9419" s="5"/>
    </row>
    <row r="9420">
      <c r="A9420" s="3" t="s">
        <v>8673</v>
      </c>
      <c r="B9420" s="3" t="s">
        <v>8594</v>
      </c>
      <c r="C9420" s="3" t="s">
        <v>8674</v>
      </c>
      <c r="D9420" s="4" t="str">
        <f t="shared" si="1114"/>
        <v>12Go Link</v>
      </c>
      <c r="E9420" s="3" t="s">
        <v>226</v>
      </c>
      <c r="K9420" s="5"/>
    </row>
    <row r="9421">
      <c r="A9421" s="3" t="s">
        <v>8673</v>
      </c>
      <c r="B9421" s="3" t="s">
        <v>8594</v>
      </c>
      <c r="C9421" s="3" t="s">
        <v>8674</v>
      </c>
      <c r="D9421" s="4" t="str">
        <f t="shared" si="1114"/>
        <v>12Go Link</v>
      </c>
      <c r="E9421" s="3" t="s">
        <v>3203</v>
      </c>
      <c r="K9421" s="5"/>
    </row>
    <row r="9422">
      <c r="A9422" s="3" t="s">
        <v>8566</v>
      </c>
      <c r="B9422" s="3" t="s">
        <v>8579</v>
      </c>
      <c r="C9422" s="3" t="s">
        <v>8675</v>
      </c>
      <c r="D9422" s="4" t="str">
        <f t="shared" ref="D9422:D9423" si="1115">HYPERLINK("https://12go.asia/en/travel/Avanos-Hotel-Transfer/Kayseri-Airport", "12Go Link")</f>
        <v>12Go Link</v>
      </c>
      <c r="E9422" s="3" t="s">
        <v>3196</v>
      </c>
      <c r="K9422" s="5"/>
    </row>
    <row r="9423">
      <c r="A9423" s="3" t="s">
        <v>8566</v>
      </c>
      <c r="B9423" s="3" t="s">
        <v>8579</v>
      </c>
      <c r="C9423" s="3" t="s">
        <v>8675</v>
      </c>
      <c r="D9423" s="4" t="str">
        <f t="shared" si="1115"/>
        <v>12Go Link</v>
      </c>
      <c r="E9423" s="3" t="s">
        <v>3203</v>
      </c>
      <c r="K9423" s="5"/>
    </row>
    <row r="9424">
      <c r="A9424" s="3" t="s">
        <v>8566</v>
      </c>
      <c r="B9424" s="3" t="s">
        <v>8581</v>
      </c>
      <c r="C9424" s="3" t="s">
        <v>8676</v>
      </c>
      <c r="D9424" s="4" t="str">
        <f t="shared" ref="D9424:D9425" si="1116">HYPERLINK("https://12go.asia/en/travel/Avanos-Hotel-Transfer/Nevsehir-Kapadokya-Airport", "12Go Link")</f>
        <v>12Go Link</v>
      </c>
      <c r="E9424" s="3" t="s">
        <v>3196</v>
      </c>
      <c r="K9424" s="5"/>
    </row>
    <row r="9425">
      <c r="A9425" s="3" t="s">
        <v>8566</v>
      </c>
      <c r="B9425" s="3" t="s">
        <v>8581</v>
      </c>
      <c r="C9425" s="3" t="s">
        <v>8676</v>
      </c>
      <c r="D9425" s="4" t="str">
        <f t="shared" si="1116"/>
        <v>12Go Link</v>
      </c>
      <c r="E9425" s="3" t="s">
        <v>3203</v>
      </c>
      <c r="K9425" s="5"/>
    </row>
    <row r="9426">
      <c r="A9426" s="3" t="s">
        <v>8633</v>
      </c>
      <c r="B9426" s="3" t="s">
        <v>8601</v>
      </c>
      <c r="C9426" s="3" t="s">
        <v>8677</v>
      </c>
      <c r="D9426" s="4" t="str">
        <f t="shared" ref="D9426:D9428" si="1117">HYPERLINK("https://12go.asia/en/travel/Avsallar-Hotel-Transfer/Antalya-Airport", "12Go Link")</f>
        <v>12Go Link</v>
      </c>
      <c r="E9426" s="3" t="s">
        <v>3196</v>
      </c>
      <c r="K9426" s="5"/>
    </row>
    <row r="9427">
      <c r="A9427" s="3" t="s">
        <v>8633</v>
      </c>
      <c r="B9427" s="3" t="s">
        <v>8601</v>
      </c>
      <c r="C9427" s="3" t="s">
        <v>8677</v>
      </c>
      <c r="D9427" s="4" t="str">
        <f t="shared" si="1117"/>
        <v>12Go Link</v>
      </c>
      <c r="E9427" s="3" t="s">
        <v>226</v>
      </c>
      <c r="K9427" s="5"/>
    </row>
    <row r="9428">
      <c r="A9428" s="3" t="s">
        <v>8633</v>
      </c>
      <c r="B9428" s="3" t="s">
        <v>8601</v>
      </c>
      <c r="C9428" s="3" t="s">
        <v>8677</v>
      </c>
      <c r="D9428" s="4" t="str">
        <f t="shared" si="1117"/>
        <v>12Go Link</v>
      </c>
      <c r="E9428" s="3" t="s">
        <v>3203</v>
      </c>
      <c r="K9428" s="5"/>
    </row>
    <row r="9429">
      <c r="A9429" s="3" t="s">
        <v>8678</v>
      </c>
      <c r="B9429" s="3" t="s">
        <v>8594</v>
      </c>
      <c r="C9429" s="3" t="s">
        <v>8679</v>
      </c>
      <c r="D9429" s="4" t="str">
        <f t="shared" ref="D9429:D9431" si="1118">HYPERLINK("https://12go.asia/en/travel/Ayvalik-Hotel-Transfer/Adnan-Menderes-Airport", "12Go Link")</f>
        <v>12Go Link</v>
      </c>
      <c r="E9429" s="3" t="s">
        <v>3196</v>
      </c>
      <c r="K9429" s="5"/>
    </row>
    <row r="9430">
      <c r="A9430" s="3" t="s">
        <v>8678</v>
      </c>
      <c r="B9430" s="3" t="s">
        <v>8594</v>
      </c>
      <c r="C9430" s="3" t="s">
        <v>8679</v>
      </c>
      <c r="D9430" s="4" t="str">
        <f t="shared" si="1118"/>
        <v>12Go Link</v>
      </c>
      <c r="E9430" s="3" t="s">
        <v>226</v>
      </c>
      <c r="K9430" s="5"/>
    </row>
    <row r="9431">
      <c r="A9431" s="3" t="s">
        <v>8678</v>
      </c>
      <c r="B9431" s="3" t="s">
        <v>8594</v>
      </c>
      <c r="C9431" s="3" t="s">
        <v>8679</v>
      </c>
      <c r="D9431" s="4" t="str">
        <f t="shared" si="1118"/>
        <v>12Go Link</v>
      </c>
      <c r="E9431" s="3" t="s">
        <v>3203</v>
      </c>
      <c r="K9431" s="5"/>
    </row>
    <row r="9432">
      <c r="A9432" s="3" t="s">
        <v>8680</v>
      </c>
      <c r="B9432" s="3" t="s">
        <v>8594</v>
      </c>
      <c r="C9432" s="3" t="s">
        <v>8681</v>
      </c>
      <c r="D9432" s="4" t="str">
        <f t="shared" ref="D9432:D9434" si="1119">HYPERLINK("https://12go.asia/en/travel/Bademli-Hotel-Transfer/Adnan-Menderes-Airport", "12Go Link")</f>
        <v>12Go Link</v>
      </c>
      <c r="E9432" s="3" t="s">
        <v>3196</v>
      </c>
      <c r="K9432" s="5"/>
    </row>
    <row r="9433">
      <c r="A9433" s="3" t="s">
        <v>8680</v>
      </c>
      <c r="B9433" s="3" t="s">
        <v>8594</v>
      </c>
      <c r="C9433" s="3" t="s">
        <v>8681</v>
      </c>
      <c r="D9433" s="4" t="str">
        <f t="shared" si="1119"/>
        <v>12Go Link</v>
      </c>
      <c r="E9433" s="3" t="s">
        <v>226</v>
      </c>
      <c r="K9433" s="5"/>
    </row>
    <row r="9434">
      <c r="A9434" s="3" t="s">
        <v>8680</v>
      </c>
      <c r="B9434" s="3" t="s">
        <v>8594</v>
      </c>
      <c r="C9434" s="3" t="s">
        <v>8681</v>
      </c>
      <c r="D9434" s="4" t="str">
        <f t="shared" si="1119"/>
        <v>12Go Link</v>
      </c>
      <c r="E9434" s="3" t="s">
        <v>3203</v>
      </c>
      <c r="K9434" s="5"/>
    </row>
    <row r="9435">
      <c r="A9435" s="3" t="s">
        <v>8682</v>
      </c>
      <c r="B9435" s="3" t="s">
        <v>8594</v>
      </c>
      <c r="C9435" s="3" t="s">
        <v>8683</v>
      </c>
      <c r="D9435" s="4" t="str">
        <f t="shared" ref="D9435:D9437" si="1120">HYPERLINK("https://12go.asia/en/travel/Balikesir-Hotel-Transfer/Adnan-Menderes-Airport", "12Go Link")</f>
        <v>12Go Link</v>
      </c>
      <c r="E9435" s="3" t="s">
        <v>3196</v>
      </c>
      <c r="K9435" s="5"/>
    </row>
    <row r="9436">
      <c r="A9436" s="3" t="s">
        <v>8682</v>
      </c>
      <c r="B9436" s="3" t="s">
        <v>8594</v>
      </c>
      <c r="C9436" s="3" t="s">
        <v>8683</v>
      </c>
      <c r="D9436" s="4" t="str">
        <f t="shared" si="1120"/>
        <v>12Go Link</v>
      </c>
      <c r="E9436" s="3" t="s">
        <v>226</v>
      </c>
      <c r="K9436" s="5"/>
    </row>
    <row r="9437">
      <c r="A9437" s="3" t="s">
        <v>8682</v>
      </c>
      <c r="B9437" s="3" t="s">
        <v>8594</v>
      </c>
      <c r="C9437" s="3" t="s">
        <v>8683</v>
      </c>
      <c r="D9437" s="4" t="str">
        <f t="shared" si="1120"/>
        <v>12Go Link</v>
      </c>
      <c r="E9437" s="3" t="s">
        <v>3203</v>
      </c>
      <c r="K9437" s="5"/>
    </row>
    <row r="9438">
      <c r="A9438" s="3" t="s">
        <v>8635</v>
      </c>
      <c r="B9438" s="3" t="s">
        <v>8601</v>
      </c>
      <c r="C9438" s="3" t="s">
        <v>8684</v>
      </c>
      <c r="D9438" s="4" t="str">
        <f t="shared" ref="D9438:D9440" si="1121">HYPERLINK("https://12go.asia/en/travel/Beldibi-Hotel-Transfer/Antalya-Airport", "12Go Link")</f>
        <v>12Go Link</v>
      </c>
      <c r="E9438" s="3" t="s">
        <v>3196</v>
      </c>
      <c r="K9438" s="5"/>
    </row>
    <row r="9439">
      <c r="A9439" s="3" t="s">
        <v>8635</v>
      </c>
      <c r="B9439" s="3" t="s">
        <v>8601</v>
      </c>
      <c r="C9439" s="3" t="s">
        <v>8684</v>
      </c>
      <c r="D9439" s="4" t="str">
        <f t="shared" si="1121"/>
        <v>12Go Link</v>
      </c>
      <c r="E9439" s="3" t="s">
        <v>226</v>
      </c>
      <c r="K9439" s="5"/>
    </row>
    <row r="9440">
      <c r="A9440" s="3" t="s">
        <v>8635</v>
      </c>
      <c r="B9440" s="3" t="s">
        <v>8601</v>
      </c>
      <c r="C9440" s="3" t="s">
        <v>8684</v>
      </c>
      <c r="D9440" s="4" t="str">
        <f t="shared" si="1121"/>
        <v>12Go Link</v>
      </c>
      <c r="E9440" s="3" t="s">
        <v>3203</v>
      </c>
      <c r="K9440" s="5"/>
    </row>
    <row r="9441">
      <c r="A9441" s="3" t="s">
        <v>8637</v>
      </c>
      <c r="B9441" s="3" t="s">
        <v>8601</v>
      </c>
      <c r="C9441" s="3" t="s">
        <v>8685</v>
      </c>
      <c r="D9441" s="4" t="str">
        <f t="shared" ref="D9441:D9443" si="1122">HYPERLINK("https://12go.asia/en/travel/Belek-Hotel-Transfer/Antalya-Airport", "12Go Link")</f>
        <v>12Go Link</v>
      </c>
      <c r="E9441" s="3" t="s">
        <v>3196</v>
      </c>
      <c r="K9441" s="5"/>
    </row>
    <row r="9442">
      <c r="A9442" s="3" t="s">
        <v>8637</v>
      </c>
      <c r="B9442" s="3" t="s">
        <v>8601</v>
      </c>
      <c r="C9442" s="3" t="s">
        <v>8685</v>
      </c>
      <c r="D9442" s="4" t="str">
        <f t="shared" si="1122"/>
        <v>12Go Link</v>
      </c>
      <c r="E9442" s="3" t="s">
        <v>226</v>
      </c>
      <c r="K9442" s="5"/>
    </row>
    <row r="9443">
      <c r="A9443" s="3" t="s">
        <v>8637</v>
      </c>
      <c r="B9443" s="3" t="s">
        <v>8601</v>
      </c>
      <c r="C9443" s="3" t="s">
        <v>8685</v>
      </c>
      <c r="D9443" s="4" t="str">
        <f t="shared" si="1122"/>
        <v>12Go Link</v>
      </c>
      <c r="E9443" s="3" t="s">
        <v>3203</v>
      </c>
      <c r="K9443" s="5"/>
    </row>
    <row r="9444">
      <c r="A9444" s="3" t="s">
        <v>8686</v>
      </c>
      <c r="B9444" s="3" t="s">
        <v>8594</v>
      </c>
      <c r="C9444" s="3" t="s">
        <v>8687</v>
      </c>
      <c r="D9444" s="4" t="str">
        <f t="shared" ref="D9444:D9446" si="1123">HYPERLINK("https://12go.asia/en/travel/Bergama-Hotel-Transfer/Adnan-Menderes-Airport", "12Go Link")</f>
        <v>12Go Link</v>
      </c>
      <c r="E9444" s="3" t="s">
        <v>3196</v>
      </c>
      <c r="K9444" s="5"/>
    </row>
    <row r="9445">
      <c r="A9445" s="3" t="s">
        <v>8686</v>
      </c>
      <c r="B9445" s="3" t="s">
        <v>8594</v>
      </c>
      <c r="C9445" s="3" t="s">
        <v>8687</v>
      </c>
      <c r="D9445" s="4" t="str">
        <f t="shared" si="1123"/>
        <v>12Go Link</v>
      </c>
      <c r="E9445" s="3" t="s">
        <v>226</v>
      </c>
      <c r="K9445" s="5"/>
    </row>
    <row r="9446">
      <c r="A9446" s="3" t="s">
        <v>8686</v>
      </c>
      <c r="B9446" s="3" t="s">
        <v>8594</v>
      </c>
      <c r="C9446" s="3" t="s">
        <v>8687</v>
      </c>
      <c r="D9446" s="4" t="str">
        <f t="shared" si="1123"/>
        <v>12Go Link</v>
      </c>
      <c r="E9446" s="3" t="s">
        <v>3203</v>
      </c>
      <c r="K9446" s="5"/>
    </row>
    <row r="9447">
      <c r="A9447" s="3" t="s">
        <v>8688</v>
      </c>
      <c r="B9447" s="3" t="s">
        <v>8594</v>
      </c>
      <c r="C9447" s="3" t="s">
        <v>8689</v>
      </c>
      <c r="D9447" s="4" t="str">
        <f t="shared" ref="D9447:D9449" si="1124">HYPERLINK("https://12go.asia/en/travel/Bitez-Hotel-Transfer/Adnan-Menderes-Airport", "12Go Link")</f>
        <v>12Go Link</v>
      </c>
      <c r="E9447" s="3" t="s">
        <v>3196</v>
      </c>
      <c r="K9447" s="5"/>
    </row>
    <row r="9448">
      <c r="A9448" s="3" t="s">
        <v>8688</v>
      </c>
      <c r="B9448" s="3" t="s">
        <v>8594</v>
      </c>
      <c r="C9448" s="3" t="s">
        <v>8689</v>
      </c>
      <c r="D9448" s="4" t="str">
        <f t="shared" si="1124"/>
        <v>12Go Link</v>
      </c>
      <c r="E9448" s="3" t="s">
        <v>226</v>
      </c>
      <c r="K9448" s="5"/>
    </row>
    <row r="9449">
      <c r="A9449" s="3" t="s">
        <v>8688</v>
      </c>
      <c r="B9449" s="3" t="s">
        <v>8594</v>
      </c>
      <c r="C9449" s="3" t="s">
        <v>8689</v>
      </c>
      <c r="D9449" s="4" t="str">
        <f t="shared" si="1124"/>
        <v>12Go Link</v>
      </c>
      <c r="E9449" s="3" t="s">
        <v>3203</v>
      </c>
      <c r="K9449" s="5"/>
    </row>
    <row r="9450">
      <c r="A9450" s="3" t="s">
        <v>8690</v>
      </c>
      <c r="B9450" s="3" t="s">
        <v>8594</v>
      </c>
      <c r="C9450" s="3" t="s">
        <v>8691</v>
      </c>
      <c r="D9450" s="4" t="str">
        <f t="shared" ref="D9450:D9452" si="1125">HYPERLINK("https://12go.asia/en/travel/Bodrum-Hotel-Transfer/Adnan-Menderes-Airport", "12Go Link")</f>
        <v>12Go Link</v>
      </c>
      <c r="E9450" s="3" t="s">
        <v>3196</v>
      </c>
      <c r="K9450" s="5"/>
    </row>
    <row r="9451">
      <c r="A9451" s="3" t="s">
        <v>8690</v>
      </c>
      <c r="B9451" s="3" t="s">
        <v>8594</v>
      </c>
      <c r="C9451" s="3" t="s">
        <v>8691</v>
      </c>
      <c r="D9451" s="4" t="str">
        <f t="shared" si="1125"/>
        <v>12Go Link</v>
      </c>
      <c r="E9451" s="3" t="s">
        <v>226</v>
      </c>
      <c r="K9451" s="5"/>
    </row>
    <row r="9452">
      <c r="A9452" s="3" t="s">
        <v>8690</v>
      </c>
      <c r="B9452" s="3" t="s">
        <v>8594</v>
      </c>
      <c r="C9452" s="3" t="s">
        <v>8691</v>
      </c>
      <c r="D9452" s="4" t="str">
        <f t="shared" si="1125"/>
        <v>12Go Link</v>
      </c>
      <c r="E9452" s="3" t="s">
        <v>3203</v>
      </c>
      <c r="K9452" s="5"/>
    </row>
    <row r="9453">
      <c r="A9453" s="3" t="s">
        <v>8692</v>
      </c>
      <c r="B9453" s="3" t="s">
        <v>8563</v>
      </c>
      <c r="C9453" s="3" t="s">
        <v>8693</v>
      </c>
      <c r="D9453" s="4" t="str">
        <f t="shared" ref="D9453:D9455" si="1126">HYPERLINK("https://12go.asia/en/travel/Bozburun-Hotel-Transfer/Dalaman-Airport", "12Go Link")</f>
        <v>12Go Link</v>
      </c>
      <c r="E9453" s="3" t="s">
        <v>3196</v>
      </c>
      <c r="K9453" s="5"/>
    </row>
    <row r="9454">
      <c r="A9454" s="3" t="s">
        <v>8692</v>
      </c>
      <c r="B9454" s="3" t="s">
        <v>8563</v>
      </c>
      <c r="C9454" s="3" t="s">
        <v>8693</v>
      </c>
      <c r="D9454" s="4" t="str">
        <f t="shared" si="1126"/>
        <v>12Go Link</v>
      </c>
      <c r="E9454" s="3" t="s">
        <v>226</v>
      </c>
      <c r="K9454" s="5"/>
    </row>
    <row r="9455">
      <c r="A9455" s="3" t="s">
        <v>8692</v>
      </c>
      <c r="B9455" s="3" t="s">
        <v>8563</v>
      </c>
      <c r="C9455" s="3" t="s">
        <v>8693</v>
      </c>
      <c r="D9455" s="4" t="str">
        <f t="shared" si="1126"/>
        <v>12Go Link</v>
      </c>
      <c r="E9455" s="3" t="s">
        <v>3203</v>
      </c>
      <c r="K9455" s="5"/>
    </row>
    <row r="9456">
      <c r="A9456" s="3" t="s">
        <v>8694</v>
      </c>
      <c r="B9456" s="3" t="s">
        <v>8594</v>
      </c>
      <c r="C9456" s="3" t="s">
        <v>8695</v>
      </c>
      <c r="D9456" s="4" t="str">
        <f t="shared" ref="D9456:D9458" si="1127">HYPERLINK("https://12go.asia/en/travel/Buharkent-Hotel-Transfer/Adnan-Menderes-Airport", "12Go Link")</f>
        <v>12Go Link</v>
      </c>
      <c r="E9456" s="3" t="s">
        <v>3196</v>
      </c>
      <c r="K9456" s="5"/>
    </row>
    <row r="9457">
      <c r="A9457" s="3" t="s">
        <v>8694</v>
      </c>
      <c r="B9457" s="3" t="s">
        <v>8594</v>
      </c>
      <c r="C9457" s="3" t="s">
        <v>8695</v>
      </c>
      <c r="D9457" s="4" t="str">
        <f t="shared" si="1127"/>
        <v>12Go Link</v>
      </c>
      <c r="E9457" s="3" t="s">
        <v>226</v>
      </c>
      <c r="K9457" s="5"/>
    </row>
    <row r="9458">
      <c r="A9458" s="3" t="s">
        <v>8694</v>
      </c>
      <c r="B9458" s="3" t="s">
        <v>8594</v>
      </c>
      <c r="C9458" s="3" t="s">
        <v>8695</v>
      </c>
      <c r="D9458" s="4" t="str">
        <f t="shared" si="1127"/>
        <v>12Go Link</v>
      </c>
      <c r="E9458" s="3" t="s">
        <v>3203</v>
      </c>
      <c r="K9458" s="5"/>
    </row>
    <row r="9459">
      <c r="A9459" s="3" t="s">
        <v>8639</v>
      </c>
      <c r="B9459" s="3" t="s">
        <v>8601</v>
      </c>
      <c r="C9459" s="3" t="s">
        <v>8696</v>
      </c>
      <c r="D9459" s="4" t="str">
        <f t="shared" ref="D9459:D9461" si="1128">HYPERLINK("https://12go.asia/en/travel/Camyuva-Hotel-Transfer/Antalya-Airport", "12Go Link")</f>
        <v>12Go Link</v>
      </c>
      <c r="E9459" s="3" t="s">
        <v>3196</v>
      </c>
      <c r="K9459" s="5"/>
    </row>
    <row r="9460">
      <c r="A9460" s="3" t="s">
        <v>8639</v>
      </c>
      <c r="B9460" s="3" t="s">
        <v>8601</v>
      </c>
      <c r="C9460" s="3" t="s">
        <v>8696</v>
      </c>
      <c r="D9460" s="4" t="str">
        <f t="shared" si="1128"/>
        <v>12Go Link</v>
      </c>
      <c r="E9460" s="3" t="s">
        <v>226</v>
      </c>
      <c r="K9460" s="5"/>
    </row>
    <row r="9461">
      <c r="A9461" s="3" t="s">
        <v>8639</v>
      </c>
      <c r="B9461" s="3" t="s">
        <v>8601</v>
      </c>
      <c r="C9461" s="3" t="s">
        <v>8696</v>
      </c>
      <c r="D9461" s="4" t="str">
        <f t="shared" si="1128"/>
        <v>12Go Link</v>
      </c>
      <c r="E9461" s="3" t="s">
        <v>3203</v>
      </c>
      <c r="K9461" s="5"/>
    </row>
    <row r="9462">
      <c r="A9462" s="3" t="s">
        <v>8697</v>
      </c>
      <c r="B9462" s="3" t="s">
        <v>8594</v>
      </c>
      <c r="C9462" s="3" t="s">
        <v>8698</v>
      </c>
      <c r="D9462" s="4" t="str">
        <f t="shared" ref="D9462:D9464" si="1129">HYPERLINK("https://12go.asia/en/travel/Candarli-Hotel-Transfer/Adnan-Menderes-Airport", "12Go Link")</f>
        <v>12Go Link</v>
      </c>
      <c r="E9462" s="3" t="s">
        <v>3196</v>
      </c>
      <c r="K9462" s="5"/>
    </row>
    <row r="9463">
      <c r="A9463" s="3" t="s">
        <v>8697</v>
      </c>
      <c r="B9463" s="3" t="s">
        <v>8594</v>
      </c>
      <c r="C9463" s="3" t="s">
        <v>8698</v>
      </c>
      <c r="D9463" s="4" t="str">
        <f t="shared" si="1129"/>
        <v>12Go Link</v>
      </c>
      <c r="E9463" s="3" t="s">
        <v>226</v>
      </c>
      <c r="K9463" s="5"/>
    </row>
    <row r="9464">
      <c r="A9464" s="3" t="s">
        <v>8697</v>
      </c>
      <c r="B9464" s="3" t="s">
        <v>8594</v>
      </c>
      <c r="C9464" s="3" t="s">
        <v>8698</v>
      </c>
      <c r="D9464" s="4" t="str">
        <f t="shared" si="1129"/>
        <v>12Go Link</v>
      </c>
      <c r="E9464" s="3" t="s">
        <v>3203</v>
      </c>
      <c r="K9464" s="5"/>
    </row>
    <row r="9465">
      <c r="A9465" s="3" t="s">
        <v>8570</v>
      </c>
      <c r="B9465" s="3" t="s">
        <v>8579</v>
      </c>
      <c r="C9465" s="3" t="s">
        <v>8699</v>
      </c>
      <c r="D9465" s="4" t="str">
        <f t="shared" ref="D9465:D9466" si="1130">HYPERLINK("https://12go.asia/en/travel/Cappadocia-Hotel-Transfer/Kayseri-Airport", "12Go Link")</f>
        <v>12Go Link</v>
      </c>
      <c r="E9465" s="3" t="s">
        <v>3196</v>
      </c>
      <c r="K9465" s="5"/>
    </row>
    <row r="9466">
      <c r="A9466" s="3" t="s">
        <v>8570</v>
      </c>
      <c r="B9466" s="3" t="s">
        <v>8579</v>
      </c>
      <c r="C9466" s="3" t="s">
        <v>8699</v>
      </c>
      <c r="D9466" s="4" t="str">
        <f t="shared" si="1130"/>
        <v>12Go Link</v>
      </c>
      <c r="E9466" s="3" t="s">
        <v>3203</v>
      </c>
      <c r="K9466" s="5"/>
    </row>
    <row r="9467">
      <c r="A9467" s="3" t="s">
        <v>8570</v>
      </c>
      <c r="B9467" s="3" t="s">
        <v>8581</v>
      </c>
      <c r="C9467" s="3" t="s">
        <v>8700</v>
      </c>
      <c r="D9467" s="4" t="str">
        <f t="shared" ref="D9467:D9468" si="1131">HYPERLINK("https://12go.asia/en/travel/Cappadocia-Hotel-Transfer/Nevsehir-Kapadokya-Airport", "12Go Link")</f>
        <v>12Go Link</v>
      </c>
      <c r="E9467" s="3" t="s">
        <v>3196</v>
      </c>
      <c r="K9467" s="5"/>
    </row>
    <row r="9468">
      <c r="A9468" s="3" t="s">
        <v>8570</v>
      </c>
      <c r="B9468" s="3" t="s">
        <v>8581</v>
      </c>
      <c r="C9468" s="3" t="s">
        <v>8700</v>
      </c>
      <c r="D9468" s="4" t="str">
        <f t="shared" si="1131"/>
        <v>12Go Link</v>
      </c>
      <c r="E9468" s="3" t="s">
        <v>3203</v>
      </c>
      <c r="K9468" s="5"/>
    </row>
    <row r="9469">
      <c r="A9469" s="3" t="s">
        <v>8573</v>
      </c>
      <c r="B9469" s="3" t="s">
        <v>8579</v>
      </c>
      <c r="C9469" s="3" t="s">
        <v>8701</v>
      </c>
      <c r="D9469" s="4" t="str">
        <f t="shared" ref="D9469:D9470" si="1132">HYPERLINK("https://12go.asia/en/travel/Cavusin-Hotel-Transfer/Kayseri-Airport", "12Go Link")</f>
        <v>12Go Link</v>
      </c>
      <c r="E9469" s="3" t="s">
        <v>3196</v>
      </c>
      <c r="K9469" s="5"/>
    </row>
    <row r="9470">
      <c r="A9470" s="3" t="s">
        <v>8573</v>
      </c>
      <c r="B9470" s="3" t="s">
        <v>8579</v>
      </c>
      <c r="C9470" s="3" t="s">
        <v>8701</v>
      </c>
      <c r="D9470" s="4" t="str">
        <f t="shared" si="1132"/>
        <v>12Go Link</v>
      </c>
      <c r="E9470" s="3" t="s">
        <v>3203</v>
      </c>
      <c r="K9470" s="5"/>
    </row>
    <row r="9471">
      <c r="A9471" s="3" t="s">
        <v>8573</v>
      </c>
      <c r="B9471" s="3" t="s">
        <v>8581</v>
      </c>
      <c r="C9471" s="3" t="s">
        <v>8702</v>
      </c>
      <c r="D9471" s="4" t="str">
        <f t="shared" ref="D9471:D9472" si="1133">HYPERLINK("https://12go.asia/en/travel/Cavusin-Hotel-Transfer/Nevsehir-Kapadokya-Airport", "12Go Link")</f>
        <v>12Go Link</v>
      </c>
      <c r="E9471" s="3" t="s">
        <v>3196</v>
      </c>
      <c r="K9471" s="5"/>
    </row>
    <row r="9472">
      <c r="A9472" s="3" t="s">
        <v>8573</v>
      </c>
      <c r="B9472" s="3" t="s">
        <v>8581</v>
      </c>
      <c r="C9472" s="3" t="s">
        <v>8702</v>
      </c>
      <c r="D9472" s="4" t="str">
        <f t="shared" si="1133"/>
        <v>12Go Link</v>
      </c>
      <c r="E9472" s="3" t="s">
        <v>3203</v>
      </c>
      <c r="K9472" s="5"/>
    </row>
    <row r="9473">
      <c r="A9473" s="3" t="s">
        <v>8703</v>
      </c>
      <c r="B9473" s="3" t="s">
        <v>8594</v>
      </c>
      <c r="C9473" s="3" t="s">
        <v>8704</v>
      </c>
      <c r="D9473" s="4" t="str">
        <f t="shared" ref="D9473:D9475" si="1134">HYPERLINK("https://12go.asia/en/travel/Cesme-Hotel-Transfer/Adnan-Menderes-Airport", "12Go Link")</f>
        <v>12Go Link</v>
      </c>
      <c r="E9473" s="3" t="s">
        <v>3196</v>
      </c>
      <c r="K9473" s="5"/>
    </row>
    <row r="9474">
      <c r="A9474" s="3" t="s">
        <v>8703</v>
      </c>
      <c r="B9474" s="3" t="s">
        <v>8594</v>
      </c>
      <c r="C9474" s="3" t="s">
        <v>8704</v>
      </c>
      <c r="D9474" s="4" t="str">
        <f t="shared" si="1134"/>
        <v>12Go Link</v>
      </c>
      <c r="E9474" s="3" t="s">
        <v>226</v>
      </c>
      <c r="K9474" s="5"/>
    </row>
    <row r="9475">
      <c r="A9475" s="3" t="s">
        <v>8703</v>
      </c>
      <c r="B9475" s="3" t="s">
        <v>8594</v>
      </c>
      <c r="C9475" s="3" t="s">
        <v>8704</v>
      </c>
      <c r="D9475" s="4" t="str">
        <f t="shared" si="1134"/>
        <v>12Go Link</v>
      </c>
      <c r="E9475" s="3" t="s">
        <v>3203</v>
      </c>
      <c r="K9475" s="5"/>
    </row>
    <row r="9476">
      <c r="A9476" s="3" t="s">
        <v>8563</v>
      </c>
      <c r="B9476" s="3" t="s">
        <v>8562</v>
      </c>
      <c r="C9476" s="3" t="s">
        <v>8705</v>
      </c>
      <c r="D9476" s="4" t="str">
        <f t="shared" ref="D9476:D9478" si="1135">HYPERLINK("https://12go.asia/en/travel/Dalaman-Airport/Adakoy-Hotel-Transfer", "12Go Link")</f>
        <v>12Go Link</v>
      </c>
      <c r="E9476" s="3" t="s">
        <v>3196</v>
      </c>
      <c r="K9476" s="5"/>
    </row>
    <row r="9477">
      <c r="A9477" s="3" t="s">
        <v>8563</v>
      </c>
      <c r="B9477" s="3" t="s">
        <v>8562</v>
      </c>
      <c r="C9477" s="3" t="s">
        <v>8705</v>
      </c>
      <c r="D9477" s="4" t="str">
        <f t="shared" si="1135"/>
        <v>12Go Link</v>
      </c>
      <c r="E9477" s="3" t="s">
        <v>226</v>
      </c>
      <c r="K9477" s="5"/>
    </row>
    <row r="9478">
      <c r="A9478" s="3" t="s">
        <v>8563</v>
      </c>
      <c r="B9478" s="3" t="s">
        <v>8562</v>
      </c>
      <c r="C9478" s="3" t="s">
        <v>8705</v>
      </c>
      <c r="D9478" s="4" t="str">
        <f t="shared" si="1135"/>
        <v>12Go Link</v>
      </c>
      <c r="E9478" s="3" t="s">
        <v>3203</v>
      </c>
      <c r="K9478" s="5"/>
    </row>
    <row r="9479">
      <c r="A9479" s="3" t="s">
        <v>8563</v>
      </c>
      <c r="B9479" s="3" t="s">
        <v>8692</v>
      </c>
      <c r="C9479" s="3" t="s">
        <v>8706</v>
      </c>
      <c r="D9479" s="4" t="str">
        <f t="shared" ref="D9479:D9481" si="1136">HYPERLINK("https://12go.asia/en/travel/Dalaman-Airport/Bozburun-Hotel-Transfer", "12Go Link")</f>
        <v>12Go Link</v>
      </c>
      <c r="E9479" s="3" t="s">
        <v>3196</v>
      </c>
      <c r="K9479" s="5"/>
    </row>
    <row r="9480">
      <c r="A9480" s="3" t="s">
        <v>8563</v>
      </c>
      <c r="B9480" s="3" t="s">
        <v>8692</v>
      </c>
      <c r="C9480" s="3" t="s">
        <v>8706</v>
      </c>
      <c r="D9480" s="4" t="str">
        <f t="shared" si="1136"/>
        <v>12Go Link</v>
      </c>
      <c r="E9480" s="3" t="s">
        <v>226</v>
      </c>
      <c r="K9480" s="5"/>
    </row>
    <row r="9481">
      <c r="A9481" s="3" t="s">
        <v>8563</v>
      </c>
      <c r="B9481" s="3" t="s">
        <v>8692</v>
      </c>
      <c r="C9481" s="3" t="s">
        <v>8706</v>
      </c>
      <c r="D9481" s="4" t="str">
        <f t="shared" si="1136"/>
        <v>12Go Link</v>
      </c>
      <c r="E9481" s="3" t="s">
        <v>3203</v>
      </c>
      <c r="K9481" s="5"/>
    </row>
    <row r="9482">
      <c r="A9482" s="3" t="s">
        <v>8563</v>
      </c>
      <c r="B9482" s="3" t="s">
        <v>8563</v>
      </c>
      <c r="C9482" s="3" t="s">
        <v>8707</v>
      </c>
      <c r="D9482" s="4" t="str">
        <f t="shared" ref="D9482:D9484" si="1137">HYPERLINK("https://12go.asia/en/travel/Dalaman-Airport/Dalaman-Hotel-Transfer", "12Go Link")</f>
        <v>12Go Link</v>
      </c>
      <c r="E9482" s="3" t="s">
        <v>3196</v>
      </c>
      <c r="K9482" s="5"/>
    </row>
    <row r="9483">
      <c r="A9483" s="3" t="s">
        <v>8563</v>
      </c>
      <c r="B9483" s="3" t="s">
        <v>8563</v>
      </c>
      <c r="C9483" s="3" t="s">
        <v>8707</v>
      </c>
      <c r="D9483" s="4" t="str">
        <f t="shared" si="1137"/>
        <v>12Go Link</v>
      </c>
      <c r="E9483" s="3" t="s">
        <v>226</v>
      </c>
      <c r="K9483" s="5"/>
    </row>
    <row r="9484">
      <c r="A9484" s="3" t="s">
        <v>8563</v>
      </c>
      <c r="B9484" s="3" t="s">
        <v>8563</v>
      </c>
      <c r="C9484" s="3" t="s">
        <v>8707</v>
      </c>
      <c r="D9484" s="4" t="str">
        <f t="shared" si="1137"/>
        <v>12Go Link</v>
      </c>
      <c r="E9484" s="3" t="s">
        <v>3203</v>
      </c>
      <c r="K9484" s="5"/>
    </row>
    <row r="9485">
      <c r="A9485" s="3" t="s">
        <v>8563</v>
      </c>
      <c r="B9485" s="3" t="s">
        <v>8563</v>
      </c>
      <c r="C9485" s="3" t="s">
        <v>8708</v>
      </c>
      <c r="D9485" s="4" t="str">
        <f t="shared" ref="D9485:D9487" si="1138">HYPERLINK("https://12go.asia/en/travel/Dalaman-Hotel-Transfer/Dalaman-Airport", "12Go Link")</f>
        <v>12Go Link</v>
      </c>
      <c r="E9485" s="3" t="s">
        <v>3196</v>
      </c>
      <c r="K9485" s="5"/>
    </row>
    <row r="9486">
      <c r="A9486" s="3" t="s">
        <v>8563</v>
      </c>
      <c r="B9486" s="3" t="s">
        <v>8563</v>
      </c>
      <c r="C9486" s="3" t="s">
        <v>8708</v>
      </c>
      <c r="D9486" s="4" t="str">
        <f t="shared" si="1138"/>
        <v>12Go Link</v>
      </c>
      <c r="E9486" s="3" t="s">
        <v>226</v>
      </c>
      <c r="K9486" s="5"/>
    </row>
    <row r="9487">
      <c r="A9487" s="3" t="s">
        <v>8563</v>
      </c>
      <c r="B9487" s="3" t="s">
        <v>8563</v>
      </c>
      <c r="C9487" s="3" t="s">
        <v>8708</v>
      </c>
      <c r="D9487" s="4" t="str">
        <f t="shared" si="1138"/>
        <v>12Go Link</v>
      </c>
      <c r="E9487" s="3" t="s">
        <v>3203</v>
      </c>
      <c r="K9487" s="5"/>
    </row>
    <row r="9488">
      <c r="A9488" s="3" t="s">
        <v>8563</v>
      </c>
      <c r="B9488" s="3" t="s">
        <v>8709</v>
      </c>
      <c r="C9488" s="3" t="s">
        <v>8710</v>
      </c>
      <c r="D9488" s="4" t="str">
        <f t="shared" ref="D9488:D9490" si="1139">HYPERLINK("https://12go.asia/en/travel/Dalaman-Airport/Dalyan-Hotel-Transfer", "12Go Link")</f>
        <v>12Go Link</v>
      </c>
      <c r="E9488" s="3" t="s">
        <v>3196</v>
      </c>
      <c r="K9488" s="5"/>
    </row>
    <row r="9489">
      <c r="A9489" s="3" t="s">
        <v>8563</v>
      </c>
      <c r="B9489" s="3" t="s">
        <v>8709</v>
      </c>
      <c r="C9489" s="3" t="s">
        <v>8710</v>
      </c>
      <c r="D9489" s="4" t="str">
        <f t="shared" si="1139"/>
        <v>12Go Link</v>
      </c>
      <c r="E9489" s="3" t="s">
        <v>226</v>
      </c>
      <c r="K9489" s="5"/>
    </row>
    <row r="9490">
      <c r="A9490" s="3" t="s">
        <v>8563</v>
      </c>
      <c r="B9490" s="3" t="s">
        <v>8709</v>
      </c>
      <c r="C9490" s="3" t="s">
        <v>8710</v>
      </c>
      <c r="D9490" s="4" t="str">
        <f t="shared" si="1139"/>
        <v>12Go Link</v>
      </c>
      <c r="E9490" s="3" t="s">
        <v>3203</v>
      </c>
      <c r="K9490" s="5"/>
    </row>
    <row r="9491">
      <c r="A9491" s="3" t="s">
        <v>8563</v>
      </c>
      <c r="B9491" s="3" t="s">
        <v>8711</v>
      </c>
      <c r="C9491" s="3" t="s">
        <v>8712</v>
      </c>
      <c r="D9491" s="4" t="str">
        <f t="shared" ref="D9491:D9493" si="1140">HYPERLINK("https://12go.asia/en/travel/Dalaman-Airport/Datca-Hotel-Transfer", "12Go Link")</f>
        <v>12Go Link</v>
      </c>
      <c r="E9491" s="3" t="s">
        <v>3196</v>
      </c>
      <c r="K9491" s="5"/>
    </row>
    <row r="9492">
      <c r="A9492" s="3" t="s">
        <v>8563</v>
      </c>
      <c r="B9492" s="3" t="s">
        <v>8711</v>
      </c>
      <c r="C9492" s="3" t="s">
        <v>8712</v>
      </c>
      <c r="D9492" s="4" t="str">
        <f t="shared" si="1140"/>
        <v>12Go Link</v>
      </c>
      <c r="E9492" s="3" t="s">
        <v>226</v>
      </c>
      <c r="K9492" s="5"/>
    </row>
    <row r="9493">
      <c r="A9493" s="3" t="s">
        <v>8563</v>
      </c>
      <c r="B9493" s="3" t="s">
        <v>8711</v>
      </c>
      <c r="C9493" s="3" t="s">
        <v>8712</v>
      </c>
      <c r="D9493" s="4" t="str">
        <f t="shared" si="1140"/>
        <v>12Go Link</v>
      </c>
      <c r="E9493" s="3" t="s">
        <v>3203</v>
      </c>
      <c r="K9493" s="5"/>
    </row>
    <row r="9494">
      <c r="A9494" s="3" t="s">
        <v>8563</v>
      </c>
      <c r="B9494" s="3" t="s">
        <v>8713</v>
      </c>
      <c r="C9494" s="3" t="s">
        <v>8714</v>
      </c>
      <c r="D9494" s="4" t="str">
        <f t="shared" ref="D9494:D9496" si="1141">HYPERLINK("https://12go.asia/en/travel/Dalaman-Airport/Demre-Hotel-Transfer", "12Go Link")</f>
        <v>12Go Link</v>
      </c>
      <c r="E9494" s="3" t="s">
        <v>3196</v>
      </c>
      <c r="K9494" s="5"/>
    </row>
    <row r="9495">
      <c r="A9495" s="3" t="s">
        <v>8563</v>
      </c>
      <c r="B9495" s="3" t="s">
        <v>8713</v>
      </c>
      <c r="C9495" s="3" t="s">
        <v>8714</v>
      </c>
      <c r="D9495" s="4" t="str">
        <f t="shared" si="1141"/>
        <v>12Go Link</v>
      </c>
      <c r="E9495" s="3" t="s">
        <v>226</v>
      </c>
      <c r="K9495" s="5"/>
    </row>
    <row r="9496">
      <c r="A9496" s="3" t="s">
        <v>8563</v>
      </c>
      <c r="B9496" s="3" t="s">
        <v>8713</v>
      </c>
      <c r="C9496" s="3" t="s">
        <v>8714</v>
      </c>
      <c r="D9496" s="4" t="str">
        <f t="shared" si="1141"/>
        <v>12Go Link</v>
      </c>
      <c r="E9496" s="3" t="s">
        <v>3203</v>
      </c>
      <c r="K9496" s="5"/>
    </row>
    <row r="9497">
      <c r="A9497" s="3" t="s">
        <v>8563</v>
      </c>
      <c r="B9497" s="3" t="s">
        <v>8715</v>
      </c>
      <c r="C9497" s="3" t="s">
        <v>8716</v>
      </c>
      <c r="D9497" s="4" t="str">
        <f t="shared" ref="D9497:D9499" si="1142">HYPERLINK("https://12go.asia/en/travel/Dalaman-Airport/Ekincik-Hotel-Transfer", "12Go Link")</f>
        <v>12Go Link</v>
      </c>
      <c r="E9497" s="3" t="s">
        <v>3196</v>
      </c>
      <c r="K9497" s="5"/>
    </row>
    <row r="9498">
      <c r="A9498" s="3" t="s">
        <v>8563</v>
      </c>
      <c r="B9498" s="3" t="s">
        <v>8715</v>
      </c>
      <c r="C9498" s="3" t="s">
        <v>8716</v>
      </c>
      <c r="D9498" s="4" t="str">
        <f t="shared" si="1142"/>
        <v>12Go Link</v>
      </c>
      <c r="E9498" s="3" t="s">
        <v>226</v>
      </c>
      <c r="K9498" s="5"/>
    </row>
    <row r="9499">
      <c r="A9499" s="3" t="s">
        <v>8563</v>
      </c>
      <c r="B9499" s="3" t="s">
        <v>8715</v>
      </c>
      <c r="C9499" s="3" t="s">
        <v>8716</v>
      </c>
      <c r="D9499" s="4" t="str">
        <f t="shared" si="1142"/>
        <v>12Go Link</v>
      </c>
      <c r="E9499" s="3" t="s">
        <v>3203</v>
      </c>
      <c r="K9499" s="5"/>
    </row>
    <row r="9500">
      <c r="A9500" s="3" t="s">
        <v>8563</v>
      </c>
      <c r="B9500" s="3" t="s">
        <v>8717</v>
      </c>
      <c r="C9500" s="3" t="s">
        <v>8718</v>
      </c>
      <c r="D9500" s="4" t="str">
        <f t="shared" ref="D9500:D9502" si="1143">HYPERLINK("https://12go.asia/en/travel/Dalaman-Airport/Calis-Beach", "12Go Link")</f>
        <v>12Go Link</v>
      </c>
      <c r="E9500" s="3" t="s">
        <v>3196</v>
      </c>
      <c r="K9500" s="5"/>
    </row>
    <row r="9501">
      <c r="A9501" s="3" t="s">
        <v>8563</v>
      </c>
      <c r="B9501" s="3" t="s">
        <v>8717</v>
      </c>
      <c r="C9501" s="3" t="s">
        <v>8718</v>
      </c>
      <c r="D9501" s="4" t="str">
        <f t="shared" si="1143"/>
        <v>12Go Link</v>
      </c>
      <c r="E9501" s="3" t="s">
        <v>226</v>
      </c>
      <c r="K9501" s="5"/>
    </row>
    <row r="9502">
      <c r="A9502" s="3" t="s">
        <v>8563</v>
      </c>
      <c r="B9502" s="3" t="s">
        <v>8717</v>
      </c>
      <c r="C9502" s="3" t="s">
        <v>8718</v>
      </c>
      <c r="D9502" s="4" t="str">
        <f t="shared" si="1143"/>
        <v>12Go Link</v>
      </c>
      <c r="E9502" s="3" t="s">
        <v>3203</v>
      </c>
      <c r="K9502" s="5"/>
    </row>
    <row r="9503">
      <c r="A9503" s="3" t="s">
        <v>8563</v>
      </c>
      <c r="B9503" s="3" t="s">
        <v>8717</v>
      </c>
      <c r="C9503" s="3" t="s">
        <v>8719</v>
      </c>
      <c r="D9503" s="4" t="str">
        <f t="shared" ref="D9503:D9505" si="1144">HYPERLINK("https://12go.asia/en/travel/Dalaman-Airport/Fethiye-Ece-Saray-Marina", "12Go Link")</f>
        <v>12Go Link</v>
      </c>
      <c r="E9503" s="3" t="s">
        <v>3196</v>
      </c>
      <c r="K9503" s="5"/>
    </row>
    <row r="9504">
      <c r="A9504" s="3" t="s">
        <v>8563</v>
      </c>
      <c r="B9504" s="3" t="s">
        <v>8717</v>
      </c>
      <c r="C9504" s="3" t="s">
        <v>8719</v>
      </c>
      <c r="D9504" s="4" t="str">
        <f t="shared" si="1144"/>
        <v>12Go Link</v>
      </c>
      <c r="E9504" s="3" t="s">
        <v>226</v>
      </c>
      <c r="K9504" s="5"/>
    </row>
    <row r="9505">
      <c r="A9505" s="3" t="s">
        <v>8563</v>
      </c>
      <c r="B9505" s="3" t="s">
        <v>8717</v>
      </c>
      <c r="C9505" s="3" t="s">
        <v>8719</v>
      </c>
      <c r="D9505" s="4" t="str">
        <f t="shared" si="1144"/>
        <v>12Go Link</v>
      </c>
      <c r="E9505" s="3" t="s">
        <v>3203</v>
      </c>
      <c r="K9505" s="5"/>
    </row>
    <row r="9506">
      <c r="A9506" s="3" t="s">
        <v>8563</v>
      </c>
      <c r="B9506" s="3" t="s">
        <v>8717</v>
      </c>
      <c r="C9506" s="3" t="s">
        <v>8720</v>
      </c>
      <c r="D9506" s="4" t="str">
        <f t="shared" ref="D9506:D9509" si="1145">HYPERLINK("https://12go.asia/en/travel/Dalaman-Airport/Fethiye-Hotel-Transfer", "12Go Link")</f>
        <v>12Go Link</v>
      </c>
      <c r="E9506" s="3" t="s">
        <v>3481</v>
      </c>
      <c r="K9506" s="5"/>
    </row>
    <row r="9507">
      <c r="A9507" s="3" t="s">
        <v>8563</v>
      </c>
      <c r="B9507" s="3" t="s">
        <v>8717</v>
      </c>
      <c r="C9507" s="3" t="s">
        <v>8720</v>
      </c>
      <c r="D9507" s="4" t="str">
        <f t="shared" si="1145"/>
        <v>12Go Link</v>
      </c>
      <c r="E9507" s="3" t="s">
        <v>3196</v>
      </c>
      <c r="K9507" s="5"/>
    </row>
    <row r="9508">
      <c r="A9508" s="3" t="s">
        <v>8563</v>
      </c>
      <c r="B9508" s="3" t="s">
        <v>8717</v>
      </c>
      <c r="C9508" s="3" t="s">
        <v>8720</v>
      </c>
      <c r="D9508" s="4" t="str">
        <f t="shared" si="1145"/>
        <v>12Go Link</v>
      </c>
      <c r="E9508" s="3" t="s">
        <v>226</v>
      </c>
      <c r="K9508" s="5"/>
    </row>
    <row r="9509">
      <c r="A9509" s="3" t="s">
        <v>8563</v>
      </c>
      <c r="B9509" s="3" t="s">
        <v>8717</v>
      </c>
      <c r="C9509" s="3" t="s">
        <v>8720</v>
      </c>
      <c r="D9509" s="4" t="str">
        <f t="shared" si="1145"/>
        <v>12Go Link</v>
      </c>
      <c r="E9509" s="3" t="s">
        <v>3203</v>
      </c>
      <c r="K9509" s="5"/>
    </row>
    <row r="9510">
      <c r="A9510" s="3" t="s">
        <v>8563</v>
      </c>
      <c r="B9510" s="3" t="s">
        <v>8721</v>
      </c>
      <c r="C9510" s="3" t="s">
        <v>8722</v>
      </c>
      <c r="D9510" s="4" t="str">
        <f t="shared" ref="D9510:D9512" si="1146">HYPERLINK("https://12go.asia/en/travel/Dalaman-Airport/Patara-Beach", "12Go Link")</f>
        <v>12Go Link</v>
      </c>
      <c r="E9510" s="3" t="s">
        <v>3196</v>
      </c>
      <c r="K9510" s="5"/>
    </row>
    <row r="9511">
      <c r="A9511" s="3" t="s">
        <v>8563</v>
      </c>
      <c r="B9511" s="3" t="s">
        <v>8721</v>
      </c>
      <c r="C9511" s="3" t="s">
        <v>8722</v>
      </c>
      <c r="D9511" s="4" t="str">
        <f t="shared" si="1146"/>
        <v>12Go Link</v>
      </c>
      <c r="E9511" s="3" t="s">
        <v>226</v>
      </c>
      <c r="K9511" s="5"/>
    </row>
    <row r="9512">
      <c r="A9512" s="3" t="s">
        <v>8563</v>
      </c>
      <c r="B9512" s="3" t="s">
        <v>8721</v>
      </c>
      <c r="C9512" s="3" t="s">
        <v>8722</v>
      </c>
      <c r="D9512" s="4" t="str">
        <f t="shared" si="1146"/>
        <v>12Go Link</v>
      </c>
      <c r="E9512" s="3" t="s">
        <v>3203</v>
      </c>
      <c r="K9512" s="5"/>
    </row>
    <row r="9513">
      <c r="A9513" s="3" t="s">
        <v>8563</v>
      </c>
      <c r="B9513" s="3" t="s">
        <v>8723</v>
      </c>
      <c r="C9513" s="3" t="s">
        <v>8724</v>
      </c>
      <c r="D9513" s="4" t="str">
        <f t="shared" ref="D9513:D9515" si="1147">HYPERLINK("https://12go.asia/en/travel/Dalaman-Airport/Gocek-Belediye-Marina", "12Go Link")</f>
        <v>12Go Link</v>
      </c>
      <c r="E9513" s="3" t="s">
        <v>3196</v>
      </c>
      <c r="K9513" s="5"/>
    </row>
    <row r="9514">
      <c r="A9514" s="3" t="s">
        <v>8563</v>
      </c>
      <c r="B9514" s="3" t="s">
        <v>8723</v>
      </c>
      <c r="C9514" s="3" t="s">
        <v>8724</v>
      </c>
      <c r="D9514" s="4" t="str">
        <f t="shared" si="1147"/>
        <v>12Go Link</v>
      </c>
      <c r="E9514" s="3" t="s">
        <v>226</v>
      </c>
      <c r="K9514" s="5"/>
    </row>
    <row r="9515">
      <c r="A9515" s="3" t="s">
        <v>8563</v>
      </c>
      <c r="B9515" s="3" t="s">
        <v>8723</v>
      </c>
      <c r="C9515" s="3" t="s">
        <v>8724</v>
      </c>
      <c r="D9515" s="4" t="str">
        <f t="shared" si="1147"/>
        <v>12Go Link</v>
      </c>
      <c r="E9515" s="3" t="s">
        <v>3203</v>
      </c>
      <c r="K9515" s="5"/>
    </row>
    <row r="9516">
      <c r="A9516" s="3" t="s">
        <v>8563</v>
      </c>
      <c r="B9516" s="3" t="s">
        <v>8723</v>
      </c>
      <c r="C9516" s="3" t="s">
        <v>8725</v>
      </c>
      <c r="D9516" s="4" t="str">
        <f t="shared" ref="D9516:D9518" si="1148">HYPERLINK("https://12go.asia/en/travel/Dalaman-Airport/Gocek-Club-Marina", "12Go Link")</f>
        <v>12Go Link</v>
      </c>
      <c r="E9516" s="3" t="s">
        <v>3196</v>
      </c>
      <c r="K9516" s="5"/>
    </row>
    <row r="9517">
      <c r="A9517" s="3" t="s">
        <v>8563</v>
      </c>
      <c r="B9517" s="3" t="s">
        <v>8723</v>
      </c>
      <c r="C9517" s="3" t="s">
        <v>8725</v>
      </c>
      <c r="D9517" s="4" t="str">
        <f t="shared" si="1148"/>
        <v>12Go Link</v>
      </c>
      <c r="E9517" s="3" t="s">
        <v>226</v>
      </c>
      <c r="K9517" s="5"/>
    </row>
    <row r="9518">
      <c r="A9518" s="3" t="s">
        <v>8563</v>
      </c>
      <c r="B9518" s="3" t="s">
        <v>8723</v>
      </c>
      <c r="C9518" s="3" t="s">
        <v>8725</v>
      </c>
      <c r="D9518" s="4" t="str">
        <f t="shared" si="1148"/>
        <v>12Go Link</v>
      </c>
      <c r="E9518" s="3" t="s">
        <v>3203</v>
      </c>
      <c r="K9518" s="5"/>
    </row>
    <row r="9519">
      <c r="A9519" s="3" t="s">
        <v>8563</v>
      </c>
      <c r="B9519" s="3" t="s">
        <v>8723</v>
      </c>
      <c r="C9519" s="3" t="s">
        <v>8726</v>
      </c>
      <c r="D9519" s="4" t="str">
        <f t="shared" ref="D9519:D9521" si="1149">HYPERLINK("https://12go.asia/en/travel/Dalaman-Airport/Gocek-Hotel-Transfer", "12Go Link")</f>
        <v>12Go Link</v>
      </c>
      <c r="E9519" s="3" t="s">
        <v>3196</v>
      </c>
      <c r="K9519" s="5"/>
    </row>
    <row r="9520">
      <c r="A9520" s="3" t="s">
        <v>8563</v>
      </c>
      <c r="B9520" s="3" t="s">
        <v>8723</v>
      </c>
      <c r="C9520" s="3" t="s">
        <v>8726</v>
      </c>
      <c r="D9520" s="4" t="str">
        <f t="shared" si="1149"/>
        <v>12Go Link</v>
      </c>
      <c r="E9520" s="3" t="s">
        <v>226</v>
      </c>
      <c r="K9520" s="5"/>
    </row>
    <row r="9521">
      <c r="A9521" s="3" t="s">
        <v>8563</v>
      </c>
      <c r="B9521" s="3" t="s">
        <v>8723</v>
      </c>
      <c r="C9521" s="3" t="s">
        <v>8726</v>
      </c>
      <c r="D9521" s="4" t="str">
        <f t="shared" si="1149"/>
        <v>12Go Link</v>
      </c>
      <c r="E9521" s="3" t="s">
        <v>3203</v>
      </c>
      <c r="K9521" s="5"/>
    </row>
    <row r="9522">
      <c r="A9522" s="3" t="s">
        <v>8563</v>
      </c>
      <c r="B9522" s="3" t="s">
        <v>8723</v>
      </c>
      <c r="C9522" s="3" t="s">
        <v>8727</v>
      </c>
      <c r="D9522" s="4" t="str">
        <f t="shared" ref="D9522:D9524" si="1150">HYPERLINK("https://12go.asia/en/travel/Dalaman-Airport/Gocek-Marinturk-Marina", "12Go Link")</f>
        <v>12Go Link</v>
      </c>
      <c r="E9522" s="3" t="s">
        <v>3196</v>
      </c>
      <c r="K9522" s="5"/>
    </row>
    <row r="9523">
      <c r="A9523" s="3" t="s">
        <v>8563</v>
      </c>
      <c r="B9523" s="3" t="s">
        <v>8723</v>
      </c>
      <c r="C9523" s="3" t="s">
        <v>8727</v>
      </c>
      <c r="D9523" s="4" t="str">
        <f t="shared" si="1150"/>
        <v>12Go Link</v>
      </c>
      <c r="E9523" s="3" t="s">
        <v>226</v>
      </c>
      <c r="K9523" s="5"/>
    </row>
    <row r="9524">
      <c r="A9524" s="3" t="s">
        <v>8563</v>
      </c>
      <c r="B9524" s="3" t="s">
        <v>8723</v>
      </c>
      <c r="C9524" s="3" t="s">
        <v>8727</v>
      </c>
      <c r="D9524" s="4" t="str">
        <f t="shared" si="1150"/>
        <v>12Go Link</v>
      </c>
      <c r="E9524" s="3" t="s">
        <v>3203</v>
      </c>
      <c r="K9524" s="5"/>
    </row>
    <row r="9525">
      <c r="A9525" s="3" t="s">
        <v>8563</v>
      </c>
      <c r="B9525" s="3" t="s">
        <v>8723</v>
      </c>
      <c r="C9525" s="3" t="s">
        <v>8728</v>
      </c>
      <c r="D9525" s="4" t="str">
        <f t="shared" ref="D9525:D9527" si="1151">HYPERLINK("https://12go.asia/en/travel/Dalaman-Airport/Gocek-Scopea-Marina", "12Go Link")</f>
        <v>12Go Link</v>
      </c>
      <c r="E9525" s="3" t="s">
        <v>3196</v>
      </c>
      <c r="K9525" s="5"/>
    </row>
    <row r="9526">
      <c r="A9526" s="3" t="s">
        <v>8563</v>
      </c>
      <c r="B9526" s="3" t="s">
        <v>8723</v>
      </c>
      <c r="C9526" s="3" t="s">
        <v>8728</v>
      </c>
      <c r="D9526" s="4" t="str">
        <f t="shared" si="1151"/>
        <v>12Go Link</v>
      </c>
      <c r="E9526" s="3" t="s">
        <v>226</v>
      </c>
      <c r="K9526" s="5"/>
    </row>
    <row r="9527">
      <c r="A9527" s="3" t="s">
        <v>8563</v>
      </c>
      <c r="B9527" s="3" t="s">
        <v>8723</v>
      </c>
      <c r="C9527" s="3" t="s">
        <v>8728</v>
      </c>
      <c r="D9527" s="4" t="str">
        <f t="shared" si="1151"/>
        <v>12Go Link</v>
      </c>
      <c r="E9527" s="3" t="s">
        <v>3203</v>
      </c>
      <c r="K9527" s="5"/>
    </row>
    <row r="9528">
      <c r="A9528" s="3" t="s">
        <v>8563</v>
      </c>
      <c r="B9528" s="3" t="s">
        <v>8729</v>
      </c>
      <c r="C9528" s="3" t="s">
        <v>8730</v>
      </c>
      <c r="D9528" s="4" t="str">
        <f t="shared" ref="D9528:D9530" si="1152">HYPERLINK("https://12go.asia/en/travel/Dalaman-Airport/Marmaris-Hisaronu-Hotel-Transfer", "12Go Link")</f>
        <v>12Go Link</v>
      </c>
      <c r="E9528" s="3" t="s">
        <v>3196</v>
      </c>
      <c r="K9528" s="5"/>
    </row>
    <row r="9529">
      <c r="A9529" s="3" t="s">
        <v>8563</v>
      </c>
      <c r="B9529" s="3" t="s">
        <v>8729</v>
      </c>
      <c r="C9529" s="3" t="s">
        <v>8730</v>
      </c>
      <c r="D9529" s="4" t="str">
        <f t="shared" si="1152"/>
        <v>12Go Link</v>
      </c>
      <c r="E9529" s="3" t="s">
        <v>226</v>
      </c>
      <c r="K9529" s="5"/>
    </row>
    <row r="9530">
      <c r="A9530" s="3" t="s">
        <v>8563</v>
      </c>
      <c r="B9530" s="3" t="s">
        <v>8729</v>
      </c>
      <c r="C9530" s="3" t="s">
        <v>8730</v>
      </c>
      <c r="D9530" s="4" t="str">
        <f t="shared" si="1152"/>
        <v>12Go Link</v>
      </c>
      <c r="E9530" s="3" t="s">
        <v>3203</v>
      </c>
      <c r="K9530" s="5"/>
    </row>
    <row r="9531">
      <c r="A9531" s="3" t="s">
        <v>8563</v>
      </c>
      <c r="B9531" s="3" t="s">
        <v>8731</v>
      </c>
      <c r="C9531" s="3" t="s">
        <v>8732</v>
      </c>
      <c r="D9531" s="4" t="str">
        <f t="shared" ref="D9531:D9533" si="1153">HYPERLINK("https://12go.asia/en/travel/Dalaman-Airport/Icmeler-Hotel-Transfer", "12Go Link")</f>
        <v>12Go Link</v>
      </c>
      <c r="E9531" s="3" t="s">
        <v>3196</v>
      </c>
      <c r="K9531" s="5"/>
    </row>
    <row r="9532">
      <c r="A9532" s="3" t="s">
        <v>8563</v>
      </c>
      <c r="B9532" s="3" t="s">
        <v>8731</v>
      </c>
      <c r="C9532" s="3" t="s">
        <v>8732</v>
      </c>
      <c r="D9532" s="4" t="str">
        <f t="shared" si="1153"/>
        <v>12Go Link</v>
      </c>
      <c r="E9532" s="3" t="s">
        <v>226</v>
      </c>
      <c r="K9532" s="5"/>
    </row>
    <row r="9533">
      <c r="A9533" s="3" t="s">
        <v>8563</v>
      </c>
      <c r="B9533" s="3" t="s">
        <v>8731</v>
      </c>
      <c r="C9533" s="3" t="s">
        <v>8732</v>
      </c>
      <c r="D9533" s="4" t="str">
        <f t="shared" si="1153"/>
        <v>12Go Link</v>
      </c>
      <c r="E9533" s="3" t="s">
        <v>3203</v>
      </c>
      <c r="K9533" s="5"/>
    </row>
    <row r="9534">
      <c r="A9534" s="3" t="s">
        <v>8563</v>
      </c>
      <c r="B9534" s="3" t="s">
        <v>8733</v>
      </c>
      <c r="C9534" s="3" t="s">
        <v>8734</v>
      </c>
      <c r="D9534" s="4" t="str">
        <f t="shared" ref="D9534:D9536" si="1154">HYPERLINK("https://12go.asia/en/travel/Dalaman-Airport/Kabak-Hotel-Transfer", "12Go Link")</f>
        <v>12Go Link</v>
      </c>
      <c r="E9534" s="3" t="s">
        <v>3196</v>
      </c>
      <c r="K9534" s="5"/>
    </row>
    <row r="9535">
      <c r="A9535" s="3" t="s">
        <v>8563</v>
      </c>
      <c r="B9535" s="3" t="s">
        <v>8733</v>
      </c>
      <c r="C9535" s="3" t="s">
        <v>8734</v>
      </c>
      <c r="D9535" s="4" t="str">
        <f t="shared" si="1154"/>
        <v>12Go Link</v>
      </c>
      <c r="E9535" s="3" t="s">
        <v>226</v>
      </c>
      <c r="K9535" s="5"/>
    </row>
    <row r="9536">
      <c r="A9536" s="3" t="s">
        <v>8563</v>
      </c>
      <c r="B9536" s="3" t="s">
        <v>8733</v>
      </c>
      <c r="C9536" s="3" t="s">
        <v>8734</v>
      </c>
      <c r="D9536" s="4" t="str">
        <f t="shared" si="1154"/>
        <v>12Go Link</v>
      </c>
      <c r="E9536" s="3" t="s">
        <v>3203</v>
      </c>
      <c r="K9536" s="5"/>
    </row>
    <row r="9537">
      <c r="A9537" s="3" t="s">
        <v>8563</v>
      </c>
      <c r="B9537" s="3" t="s">
        <v>8735</v>
      </c>
      <c r="C9537" s="3" t="s">
        <v>8736</v>
      </c>
      <c r="D9537" s="4" t="str">
        <f t="shared" ref="D9537:D9539" si="1155">HYPERLINK("https://12go.asia/en/travel/Dalaman-Airport/Ucagiz-Kekova-Castle", "12Go Link")</f>
        <v>12Go Link</v>
      </c>
      <c r="E9537" s="3" t="s">
        <v>3196</v>
      </c>
      <c r="K9537" s="5"/>
    </row>
    <row r="9538">
      <c r="A9538" s="3" t="s">
        <v>8563</v>
      </c>
      <c r="B9538" s="3" t="s">
        <v>8735</v>
      </c>
      <c r="C9538" s="3" t="s">
        <v>8736</v>
      </c>
      <c r="D9538" s="4" t="str">
        <f t="shared" si="1155"/>
        <v>12Go Link</v>
      </c>
      <c r="E9538" s="3" t="s">
        <v>226</v>
      </c>
      <c r="K9538" s="5"/>
    </row>
    <row r="9539">
      <c r="A9539" s="3" t="s">
        <v>8563</v>
      </c>
      <c r="B9539" s="3" t="s">
        <v>8735</v>
      </c>
      <c r="C9539" s="3" t="s">
        <v>8736</v>
      </c>
      <c r="D9539" s="4" t="str">
        <f t="shared" si="1155"/>
        <v>12Go Link</v>
      </c>
      <c r="E9539" s="3" t="s">
        <v>3203</v>
      </c>
      <c r="K9539" s="5"/>
    </row>
    <row r="9540">
      <c r="A9540" s="3" t="s">
        <v>8563</v>
      </c>
      <c r="B9540" s="3" t="s">
        <v>8737</v>
      </c>
      <c r="C9540" s="3" t="s">
        <v>8738</v>
      </c>
      <c r="D9540" s="4" t="str">
        <f t="shared" ref="D9540:D9542" si="1156">HYPERLINK("https://12go.asia/en/travel/Dalaman-Airport/Kalkan-Hotel-Transfer", "12Go Link")</f>
        <v>12Go Link</v>
      </c>
      <c r="E9540" s="3" t="s">
        <v>3196</v>
      </c>
      <c r="K9540" s="5"/>
    </row>
    <row r="9541">
      <c r="A9541" s="3" t="s">
        <v>8563</v>
      </c>
      <c r="B9541" s="3" t="s">
        <v>8737</v>
      </c>
      <c r="C9541" s="3" t="s">
        <v>8738</v>
      </c>
      <c r="D9541" s="4" t="str">
        <f t="shared" si="1156"/>
        <v>12Go Link</v>
      </c>
      <c r="E9541" s="3" t="s">
        <v>226</v>
      </c>
      <c r="K9541" s="5"/>
    </row>
    <row r="9542">
      <c r="A9542" s="3" t="s">
        <v>8563</v>
      </c>
      <c r="B9542" s="3" t="s">
        <v>8737</v>
      </c>
      <c r="C9542" s="3" t="s">
        <v>8738</v>
      </c>
      <c r="D9542" s="4" t="str">
        <f t="shared" si="1156"/>
        <v>12Go Link</v>
      </c>
      <c r="E9542" s="3" t="s">
        <v>3203</v>
      </c>
      <c r="K9542" s="5"/>
    </row>
    <row r="9543">
      <c r="A9543" s="3" t="s">
        <v>8563</v>
      </c>
      <c r="B9543" s="3" t="s">
        <v>8739</v>
      </c>
      <c r="C9543" s="3" t="s">
        <v>8740</v>
      </c>
      <c r="D9543" s="4" t="str">
        <f t="shared" ref="D9543:D9545" si="1157">HYPERLINK("https://12go.asia/en/travel/Dalaman-Airport/Kapikargin-Hotel-Transfer", "12Go Link")</f>
        <v>12Go Link</v>
      </c>
      <c r="E9543" s="3" t="s">
        <v>3196</v>
      </c>
      <c r="K9543" s="5"/>
    </row>
    <row r="9544">
      <c r="A9544" s="3" t="s">
        <v>8563</v>
      </c>
      <c r="B9544" s="3" t="s">
        <v>8739</v>
      </c>
      <c r="C9544" s="3" t="s">
        <v>8740</v>
      </c>
      <c r="D9544" s="4" t="str">
        <f t="shared" si="1157"/>
        <v>12Go Link</v>
      </c>
      <c r="E9544" s="3" t="s">
        <v>226</v>
      </c>
      <c r="K9544" s="5"/>
    </row>
    <row r="9545">
      <c r="A9545" s="3" t="s">
        <v>8563</v>
      </c>
      <c r="B9545" s="3" t="s">
        <v>8739</v>
      </c>
      <c r="C9545" s="3" t="s">
        <v>8740</v>
      </c>
      <c r="D9545" s="4" t="str">
        <f t="shared" si="1157"/>
        <v>12Go Link</v>
      </c>
      <c r="E9545" s="3" t="s">
        <v>3203</v>
      </c>
      <c r="K9545" s="5"/>
    </row>
    <row r="9546">
      <c r="A9546" s="3" t="s">
        <v>8563</v>
      </c>
      <c r="B9546" s="3" t="s">
        <v>8741</v>
      </c>
      <c r="C9546" s="3" t="s">
        <v>8742</v>
      </c>
      <c r="D9546" s="4" t="str">
        <f t="shared" ref="D9546:D9548" si="1158">HYPERLINK("https://12go.asia/en/travel/Dalaman-Airport/Karaca-Hotel-Transfer", "12Go Link")</f>
        <v>12Go Link</v>
      </c>
      <c r="E9546" s="3" t="s">
        <v>3196</v>
      </c>
      <c r="K9546" s="5"/>
    </row>
    <row r="9547">
      <c r="A9547" s="3" t="s">
        <v>8563</v>
      </c>
      <c r="B9547" s="3" t="s">
        <v>8741</v>
      </c>
      <c r="C9547" s="3" t="s">
        <v>8742</v>
      </c>
      <c r="D9547" s="4" t="str">
        <f t="shared" si="1158"/>
        <v>12Go Link</v>
      </c>
      <c r="E9547" s="3" t="s">
        <v>226</v>
      </c>
      <c r="K9547" s="5"/>
    </row>
    <row r="9548">
      <c r="A9548" s="3" t="s">
        <v>8563</v>
      </c>
      <c r="B9548" s="3" t="s">
        <v>8741</v>
      </c>
      <c r="C9548" s="3" t="s">
        <v>8742</v>
      </c>
      <c r="D9548" s="4" t="str">
        <f t="shared" si="1158"/>
        <v>12Go Link</v>
      </c>
      <c r="E9548" s="3" t="s">
        <v>3203</v>
      </c>
      <c r="K9548" s="5"/>
    </row>
    <row r="9549">
      <c r="A9549" s="3" t="s">
        <v>8563</v>
      </c>
      <c r="B9549" s="3" t="s">
        <v>8743</v>
      </c>
      <c r="C9549" s="3" t="s">
        <v>8744</v>
      </c>
      <c r="D9549" s="4" t="str">
        <f t="shared" ref="D9549:D9551" si="1159">HYPERLINK("https://12go.asia/en/travel/Dalaman-Airport/Kas-Hotel-Transfer", "12Go Link")</f>
        <v>12Go Link</v>
      </c>
      <c r="E9549" s="3" t="s">
        <v>3196</v>
      </c>
      <c r="K9549" s="5"/>
    </row>
    <row r="9550">
      <c r="A9550" s="3" t="s">
        <v>8563</v>
      </c>
      <c r="B9550" s="3" t="s">
        <v>8743</v>
      </c>
      <c r="C9550" s="3" t="s">
        <v>8744</v>
      </c>
      <c r="D9550" s="4" t="str">
        <f t="shared" si="1159"/>
        <v>12Go Link</v>
      </c>
      <c r="E9550" s="3" t="s">
        <v>226</v>
      </c>
      <c r="K9550" s="5"/>
    </row>
    <row r="9551">
      <c r="A9551" s="3" t="s">
        <v>8563</v>
      </c>
      <c r="B9551" s="3" t="s">
        <v>8743</v>
      </c>
      <c r="C9551" s="3" t="s">
        <v>8744</v>
      </c>
      <c r="D9551" s="4" t="str">
        <f t="shared" si="1159"/>
        <v>12Go Link</v>
      </c>
      <c r="E9551" s="3" t="s">
        <v>3203</v>
      </c>
      <c r="K9551" s="5"/>
    </row>
    <row r="9552">
      <c r="A9552" s="3" t="s">
        <v>8563</v>
      </c>
      <c r="B9552" s="3" t="s">
        <v>8745</v>
      </c>
      <c r="C9552" s="3" t="s">
        <v>8746</v>
      </c>
      <c r="D9552" s="4" t="str">
        <f t="shared" ref="D9552:D9554" si="1160">HYPERLINK("https://12go.asia/en/travel/Dalaman-Airport/Kayakoy-Hotel-Transfer", "12Go Link")</f>
        <v>12Go Link</v>
      </c>
      <c r="E9552" s="3" t="s">
        <v>3196</v>
      </c>
      <c r="K9552" s="5"/>
    </row>
    <row r="9553">
      <c r="A9553" s="3" t="s">
        <v>8563</v>
      </c>
      <c r="B9553" s="3" t="s">
        <v>8745</v>
      </c>
      <c r="C9553" s="3" t="s">
        <v>8746</v>
      </c>
      <c r="D9553" s="4" t="str">
        <f t="shared" si="1160"/>
        <v>12Go Link</v>
      </c>
      <c r="E9553" s="3" t="s">
        <v>226</v>
      </c>
      <c r="K9553" s="5"/>
    </row>
    <row r="9554">
      <c r="A9554" s="3" t="s">
        <v>8563</v>
      </c>
      <c r="B9554" s="3" t="s">
        <v>8745</v>
      </c>
      <c r="C9554" s="3" t="s">
        <v>8746</v>
      </c>
      <c r="D9554" s="4" t="str">
        <f t="shared" si="1160"/>
        <v>12Go Link</v>
      </c>
      <c r="E9554" s="3" t="s">
        <v>3203</v>
      </c>
      <c r="K9554" s="5"/>
    </row>
    <row r="9555">
      <c r="A9555" s="3" t="s">
        <v>8563</v>
      </c>
      <c r="B9555" s="3" t="s">
        <v>8747</v>
      </c>
      <c r="C9555" s="3" t="s">
        <v>8748</v>
      </c>
      <c r="D9555" s="4" t="str">
        <f t="shared" ref="D9555:D9557" si="1161">HYPERLINK("https://12go.asia/en/travel/Dalaman-Airport/Koycegiz-Hotel-Transfer", "12Go Link")</f>
        <v>12Go Link</v>
      </c>
      <c r="E9555" s="3" t="s">
        <v>3196</v>
      </c>
      <c r="K9555" s="5"/>
    </row>
    <row r="9556">
      <c r="A9556" s="3" t="s">
        <v>8563</v>
      </c>
      <c r="B9556" s="3" t="s">
        <v>8747</v>
      </c>
      <c r="C9556" s="3" t="s">
        <v>8748</v>
      </c>
      <c r="D9556" s="4" t="str">
        <f t="shared" si="1161"/>
        <v>12Go Link</v>
      </c>
      <c r="E9556" s="3" t="s">
        <v>226</v>
      </c>
      <c r="K9556" s="5"/>
    </row>
    <row r="9557">
      <c r="A9557" s="3" t="s">
        <v>8563</v>
      </c>
      <c r="B9557" s="3" t="s">
        <v>8747</v>
      </c>
      <c r="C9557" s="3" t="s">
        <v>8748</v>
      </c>
      <c r="D9557" s="4" t="str">
        <f t="shared" si="1161"/>
        <v>12Go Link</v>
      </c>
      <c r="E9557" s="3" t="s">
        <v>3203</v>
      </c>
      <c r="K9557" s="5"/>
    </row>
    <row r="9558">
      <c r="A9558" s="3" t="s">
        <v>8563</v>
      </c>
      <c r="B9558" s="3" t="s">
        <v>8749</v>
      </c>
      <c r="C9558" s="3" t="s">
        <v>8750</v>
      </c>
      <c r="D9558" s="4" t="str">
        <f t="shared" ref="D9558:D9560" si="1162">HYPERLINK("https://12go.asia/en/travel/Dalaman-Airport/Kumlubuk-Hotel-Transfer", "12Go Link")</f>
        <v>12Go Link</v>
      </c>
      <c r="E9558" s="3" t="s">
        <v>3196</v>
      </c>
      <c r="K9558" s="5"/>
    </row>
    <row r="9559">
      <c r="A9559" s="3" t="s">
        <v>8563</v>
      </c>
      <c r="B9559" s="3" t="s">
        <v>8749</v>
      </c>
      <c r="C9559" s="3" t="s">
        <v>8750</v>
      </c>
      <c r="D9559" s="4" t="str">
        <f t="shared" si="1162"/>
        <v>12Go Link</v>
      </c>
      <c r="E9559" s="3" t="s">
        <v>226</v>
      </c>
      <c r="K9559" s="5"/>
    </row>
    <row r="9560">
      <c r="A9560" s="3" t="s">
        <v>8563</v>
      </c>
      <c r="B9560" s="3" t="s">
        <v>8749</v>
      </c>
      <c r="C9560" s="3" t="s">
        <v>8750</v>
      </c>
      <c r="D9560" s="4" t="str">
        <f t="shared" si="1162"/>
        <v>12Go Link</v>
      </c>
      <c r="E9560" s="3" t="s">
        <v>3203</v>
      </c>
      <c r="K9560" s="5"/>
    </row>
    <row r="9561">
      <c r="A9561" s="3" t="s">
        <v>8563</v>
      </c>
      <c r="B9561" s="3" t="s">
        <v>8751</v>
      </c>
      <c r="C9561" s="3" t="s">
        <v>8752</v>
      </c>
      <c r="D9561" s="4" t="str">
        <f t="shared" ref="D9561:D9563" si="1163">HYPERLINK("https://12go.asia/en/travel/Dalaman-Airport/Beldibi-Marmaris-Hotel-Transfer", "12Go Link")</f>
        <v>12Go Link</v>
      </c>
      <c r="E9561" s="3" t="s">
        <v>3196</v>
      </c>
      <c r="K9561" s="5"/>
    </row>
    <row r="9562">
      <c r="A9562" s="3" t="s">
        <v>8563</v>
      </c>
      <c r="B9562" s="3" t="s">
        <v>8751</v>
      </c>
      <c r="C9562" s="3" t="s">
        <v>8752</v>
      </c>
      <c r="D9562" s="4" t="str">
        <f t="shared" si="1163"/>
        <v>12Go Link</v>
      </c>
      <c r="E9562" s="3" t="s">
        <v>226</v>
      </c>
      <c r="K9562" s="5"/>
    </row>
    <row r="9563">
      <c r="A9563" s="3" t="s">
        <v>8563</v>
      </c>
      <c r="B9563" s="3" t="s">
        <v>8751</v>
      </c>
      <c r="C9563" s="3" t="s">
        <v>8752</v>
      </c>
      <c r="D9563" s="4" t="str">
        <f t="shared" si="1163"/>
        <v>12Go Link</v>
      </c>
      <c r="E9563" s="3" t="s">
        <v>3203</v>
      </c>
      <c r="K9563" s="5"/>
    </row>
    <row r="9564">
      <c r="A9564" s="3" t="s">
        <v>8563</v>
      </c>
      <c r="B9564" s="3" t="s">
        <v>8751</v>
      </c>
      <c r="C9564" s="3" t="s">
        <v>8753</v>
      </c>
      <c r="D9564" s="4" t="str">
        <f t="shared" ref="D9564:D9566" si="1164">HYPERLINK("https://12go.asia/en/travel/Dalaman-Airport/Marmaris-Albatros-Marina", "12Go Link")</f>
        <v>12Go Link</v>
      </c>
      <c r="E9564" s="3" t="s">
        <v>3196</v>
      </c>
      <c r="K9564" s="5"/>
    </row>
    <row r="9565">
      <c r="A9565" s="3" t="s">
        <v>8563</v>
      </c>
      <c r="B9565" s="3" t="s">
        <v>8751</v>
      </c>
      <c r="C9565" s="3" t="s">
        <v>8753</v>
      </c>
      <c r="D9565" s="4" t="str">
        <f t="shared" si="1164"/>
        <v>12Go Link</v>
      </c>
      <c r="E9565" s="3" t="s">
        <v>226</v>
      </c>
      <c r="K9565" s="5"/>
    </row>
    <row r="9566">
      <c r="A9566" s="3" t="s">
        <v>8563</v>
      </c>
      <c r="B9566" s="3" t="s">
        <v>8751</v>
      </c>
      <c r="C9566" s="3" t="s">
        <v>8753</v>
      </c>
      <c r="D9566" s="4" t="str">
        <f t="shared" si="1164"/>
        <v>12Go Link</v>
      </c>
      <c r="E9566" s="3" t="s">
        <v>3203</v>
      </c>
      <c r="K9566" s="5"/>
    </row>
    <row r="9567">
      <c r="A9567" s="3" t="s">
        <v>8563</v>
      </c>
      <c r="B9567" s="3" t="s">
        <v>8751</v>
      </c>
      <c r="C9567" s="3" t="s">
        <v>8754</v>
      </c>
      <c r="D9567" s="4" t="str">
        <f t="shared" ref="D9567:D9569" si="1165">HYPERLINK("https://12go.asia/en/travel/Dalaman-Airport/Marmaris-Cruise-Port", "12Go Link")</f>
        <v>12Go Link</v>
      </c>
      <c r="E9567" s="3" t="s">
        <v>3196</v>
      </c>
      <c r="K9567" s="5"/>
    </row>
    <row r="9568">
      <c r="A9568" s="3" t="s">
        <v>8563</v>
      </c>
      <c r="B9568" s="3" t="s">
        <v>8751</v>
      </c>
      <c r="C9568" s="3" t="s">
        <v>8754</v>
      </c>
      <c r="D9568" s="4" t="str">
        <f t="shared" si="1165"/>
        <v>12Go Link</v>
      </c>
      <c r="E9568" s="3" t="s">
        <v>226</v>
      </c>
      <c r="K9568" s="5"/>
    </row>
    <row r="9569">
      <c r="A9569" s="3" t="s">
        <v>8563</v>
      </c>
      <c r="B9569" s="3" t="s">
        <v>8751</v>
      </c>
      <c r="C9569" s="3" t="s">
        <v>8754</v>
      </c>
      <c r="D9569" s="4" t="str">
        <f t="shared" si="1165"/>
        <v>12Go Link</v>
      </c>
      <c r="E9569" s="3" t="s">
        <v>3203</v>
      </c>
      <c r="K9569" s="5"/>
    </row>
    <row r="9570">
      <c r="A9570" s="3" t="s">
        <v>8563</v>
      </c>
      <c r="B9570" s="3" t="s">
        <v>8751</v>
      </c>
      <c r="C9570" s="3" t="s">
        <v>8755</v>
      </c>
      <c r="D9570" s="4" t="str">
        <f t="shared" ref="D9570:D9573" si="1166">HYPERLINK("https://12go.asia/en/travel/Dalaman-Airport/Marmaris-Hotel-Transfer", "12Go Link")</f>
        <v>12Go Link</v>
      </c>
      <c r="E9570" s="3" t="s">
        <v>3481</v>
      </c>
      <c r="K9570" s="5"/>
    </row>
    <row r="9571">
      <c r="A9571" s="3" t="s">
        <v>8563</v>
      </c>
      <c r="B9571" s="3" t="s">
        <v>8751</v>
      </c>
      <c r="C9571" s="3" t="s">
        <v>8755</v>
      </c>
      <c r="D9571" s="4" t="str">
        <f t="shared" si="1166"/>
        <v>12Go Link</v>
      </c>
      <c r="E9571" s="3" t="s">
        <v>3196</v>
      </c>
      <c r="K9571" s="5"/>
    </row>
    <row r="9572">
      <c r="A9572" s="3" t="s">
        <v>8563</v>
      </c>
      <c r="B9572" s="3" t="s">
        <v>8751</v>
      </c>
      <c r="C9572" s="3" t="s">
        <v>8755</v>
      </c>
      <c r="D9572" s="4" t="str">
        <f t="shared" si="1166"/>
        <v>12Go Link</v>
      </c>
      <c r="E9572" s="3" t="s">
        <v>226</v>
      </c>
      <c r="K9572" s="5"/>
    </row>
    <row r="9573">
      <c r="A9573" s="3" t="s">
        <v>8563</v>
      </c>
      <c r="B9573" s="3" t="s">
        <v>8751</v>
      </c>
      <c r="C9573" s="3" t="s">
        <v>8755</v>
      </c>
      <c r="D9573" s="4" t="str">
        <f t="shared" si="1166"/>
        <v>12Go Link</v>
      </c>
      <c r="E9573" s="3" t="s">
        <v>3203</v>
      </c>
      <c r="K9573" s="5"/>
    </row>
    <row r="9574">
      <c r="A9574" s="3" t="s">
        <v>8563</v>
      </c>
      <c r="B9574" s="3" t="s">
        <v>8751</v>
      </c>
      <c r="C9574" s="3" t="s">
        <v>8756</v>
      </c>
      <c r="D9574" s="4" t="str">
        <f t="shared" ref="D9574:D9576" si="1167">HYPERLINK("https://12go.asia/en/travel/Dalaman-Airport/Marmaris-Netsel-Marina", "12Go Link")</f>
        <v>12Go Link</v>
      </c>
      <c r="E9574" s="3" t="s">
        <v>3196</v>
      </c>
      <c r="K9574" s="5"/>
    </row>
    <row r="9575">
      <c r="A9575" s="3" t="s">
        <v>8563</v>
      </c>
      <c r="B9575" s="3" t="s">
        <v>8751</v>
      </c>
      <c r="C9575" s="3" t="s">
        <v>8756</v>
      </c>
      <c r="D9575" s="4" t="str">
        <f t="shared" si="1167"/>
        <v>12Go Link</v>
      </c>
      <c r="E9575" s="3" t="s">
        <v>226</v>
      </c>
      <c r="K9575" s="5"/>
    </row>
    <row r="9576">
      <c r="A9576" s="3" t="s">
        <v>8563</v>
      </c>
      <c r="B9576" s="3" t="s">
        <v>8751</v>
      </c>
      <c r="C9576" s="3" t="s">
        <v>8756</v>
      </c>
      <c r="D9576" s="4" t="str">
        <f t="shared" si="1167"/>
        <v>12Go Link</v>
      </c>
      <c r="E9576" s="3" t="s">
        <v>3203</v>
      </c>
      <c r="K9576" s="5"/>
    </row>
    <row r="9577">
      <c r="A9577" s="3" t="s">
        <v>8563</v>
      </c>
      <c r="B9577" s="3" t="s">
        <v>8751</v>
      </c>
      <c r="C9577" s="3" t="s">
        <v>8757</v>
      </c>
      <c r="D9577" s="4" t="str">
        <f t="shared" ref="D9577:D9579" si="1168">HYPERLINK("https://12go.asia/en/travel/Dalaman-Airport/Marmaris-Yacht-Marina", "12Go Link")</f>
        <v>12Go Link</v>
      </c>
      <c r="E9577" s="3" t="s">
        <v>3196</v>
      </c>
      <c r="K9577" s="5"/>
    </row>
    <row r="9578">
      <c r="A9578" s="3" t="s">
        <v>8563</v>
      </c>
      <c r="B9578" s="3" t="s">
        <v>8751</v>
      </c>
      <c r="C9578" s="3" t="s">
        <v>8757</v>
      </c>
      <c r="D9578" s="4" t="str">
        <f t="shared" si="1168"/>
        <v>12Go Link</v>
      </c>
      <c r="E9578" s="3" t="s">
        <v>226</v>
      </c>
      <c r="K9578" s="5"/>
    </row>
    <row r="9579">
      <c r="A9579" s="3" t="s">
        <v>8563</v>
      </c>
      <c r="B9579" s="3" t="s">
        <v>8751</v>
      </c>
      <c r="C9579" s="3" t="s">
        <v>8757</v>
      </c>
      <c r="D9579" s="4" t="str">
        <f t="shared" si="1168"/>
        <v>12Go Link</v>
      </c>
      <c r="E9579" s="3" t="s">
        <v>3203</v>
      </c>
      <c r="K9579" s="5"/>
    </row>
    <row r="9580">
      <c r="A9580" s="3" t="s">
        <v>8563</v>
      </c>
      <c r="B9580" s="3" t="s">
        <v>8758</v>
      </c>
      <c r="C9580" s="3" t="s">
        <v>8759</v>
      </c>
      <c r="D9580" s="4" t="str">
        <f t="shared" ref="D9580:D9582" si="1169">HYPERLINK("https://12go.asia/en/travel/Dalaman-Airport/Fethiye-Hisaronu-Hotel-Transfer", "12Go Link")</f>
        <v>12Go Link</v>
      </c>
      <c r="E9580" s="3" t="s">
        <v>3196</v>
      </c>
      <c r="K9580" s="5"/>
    </row>
    <row r="9581">
      <c r="A9581" s="3" t="s">
        <v>8563</v>
      </c>
      <c r="B9581" s="3" t="s">
        <v>8758</v>
      </c>
      <c r="C9581" s="3" t="s">
        <v>8759</v>
      </c>
      <c r="D9581" s="4" t="str">
        <f t="shared" si="1169"/>
        <v>12Go Link</v>
      </c>
      <c r="E9581" s="3" t="s">
        <v>226</v>
      </c>
      <c r="K9581" s="5"/>
    </row>
    <row r="9582">
      <c r="A9582" s="3" t="s">
        <v>8563</v>
      </c>
      <c r="B9582" s="3" t="s">
        <v>8758</v>
      </c>
      <c r="C9582" s="3" t="s">
        <v>8759</v>
      </c>
      <c r="D9582" s="4" t="str">
        <f t="shared" si="1169"/>
        <v>12Go Link</v>
      </c>
      <c r="E9582" s="3" t="s">
        <v>3203</v>
      </c>
      <c r="K9582" s="5"/>
    </row>
    <row r="9583">
      <c r="A9583" s="3" t="s">
        <v>8563</v>
      </c>
      <c r="B9583" s="3" t="s">
        <v>8758</v>
      </c>
      <c r="C9583" s="3" t="s">
        <v>8760</v>
      </c>
      <c r="D9583" s="4" t="str">
        <f t="shared" ref="D9583:D9585" si="1170">HYPERLINK("https://12go.asia/en/travel/Dalaman-Airport/Oludeniz-Hotel-Transfer", "12Go Link")</f>
        <v>12Go Link</v>
      </c>
      <c r="E9583" s="3" t="s">
        <v>3196</v>
      </c>
      <c r="K9583" s="5"/>
    </row>
    <row r="9584">
      <c r="A9584" s="3" t="s">
        <v>8563</v>
      </c>
      <c r="B9584" s="3" t="s">
        <v>8758</v>
      </c>
      <c r="C9584" s="3" t="s">
        <v>8760</v>
      </c>
      <c r="D9584" s="4" t="str">
        <f t="shared" si="1170"/>
        <v>12Go Link</v>
      </c>
      <c r="E9584" s="3" t="s">
        <v>226</v>
      </c>
      <c r="K9584" s="5"/>
    </row>
    <row r="9585">
      <c r="A9585" s="3" t="s">
        <v>8563</v>
      </c>
      <c r="B9585" s="3" t="s">
        <v>8758</v>
      </c>
      <c r="C9585" s="3" t="s">
        <v>8760</v>
      </c>
      <c r="D9585" s="4" t="str">
        <f t="shared" si="1170"/>
        <v>12Go Link</v>
      </c>
      <c r="E9585" s="3" t="s">
        <v>3203</v>
      </c>
      <c r="K9585" s="5"/>
    </row>
    <row r="9586">
      <c r="A9586" s="3" t="s">
        <v>8563</v>
      </c>
      <c r="B9586" s="3" t="s">
        <v>8758</v>
      </c>
      <c r="C9586" s="3" t="s">
        <v>8761</v>
      </c>
      <c r="D9586" s="4" t="str">
        <f t="shared" ref="D9586:D9588" si="1171">HYPERLINK("https://12go.asia/en/travel/Dalaman-Airport/Ovacik-Hotel-Transfer", "12Go Link")</f>
        <v>12Go Link</v>
      </c>
      <c r="E9586" s="3" t="s">
        <v>3196</v>
      </c>
      <c r="K9586" s="5"/>
    </row>
    <row r="9587">
      <c r="A9587" s="3" t="s">
        <v>8563</v>
      </c>
      <c r="B9587" s="3" t="s">
        <v>8758</v>
      </c>
      <c r="C9587" s="3" t="s">
        <v>8761</v>
      </c>
      <c r="D9587" s="4" t="str">
        <f t="shared" si="1171"/>
        <v>12Go Link</v>
      </c>
      <c r="E9587" s="3" t="s">
        <v>226</v>
      </c>
      <c r="K9587" s="5"/>
    </row>
    <row r="9588">
      <c r="A9588" s="3" t="s">
        <v>8563</v>
      </c>
      <c r="B9588" s="3" t="s">
        <v>8758</v>
      </c>
      <c r="C9588" s="3" t="s">
        <v>8761</v>
      </c>
      <c r="D9588" s="4" t="str">
        <f t="shared" si="1171"/>
        <v>12Go Link</v>
      </c>
      <c r="E9588" s="3" t="s">
        <v>3203</v>
      </c>
      <c r="K9588" s="5"/>
    </row>
    <row r="9589">
      <c r="A9589" s="3" t="s">
        <v>8563</v>
      </c>
      <c r="B9589" s="3" t="s">
        <v>8762</v>
      </c>
      <c r="C9589" s="3" t="s">
        <v>8763</v>
      </c>
      <c r="D9589" s="4" t="str">
        <f t="shared" ref="D9589:D9591" si="1172">HYPERLINK("https://12go.asia/en/travel/Dalaman-Airport/Orhaniye-Hotel-Transfer", "12Go Link")</f>
        <v>12Go Link</v>
      </c>
      <c r="E9589" s="3" t="s">
        <v>3196</v>
      </c>
      <c r="K9589" s="5"/>
    </row>
    <row r="9590">
      <c r="A9590" s="3" t="s">
        <v>8563</v>
      </c>
      <c r="B9590" s="3" t="s">
        <v>8762</v>
      </c>
      <c r="C9590" s="3" t="s">
        <v>8763</v>
      </c>
      <c r="D9590" s="4" t="str">
        <f t="shared" si="1172"/>
        <v>12Go Link</v>
      </c>
      <c r="E9590" s="3" t="s">
        <v>226</v>
      </c>
      <c r="K9590" s="5"/>
    </row>
    <row r="9591">
      <c r="A9591" s="3" t="s">
        <v>8563</v>
      </c>
      <c r="B9591" s="3" t="s">
        <v>8762</v>
      </c>
      <c r="C9591" s="3" t="s">
        <v>8763</v>
      </c>
      <c r="D9591" s="4" t="str">
        <f t="shared" si="1172"/>
        <v>12Go Link</v>
      </c>
      <c r="E9591" s="3" t="s">
        <v>3203</v>
      </c>
      <c r="K9591" s="5"/>
    </row>
    <row r="9592">
      <c r="A9592" s="3" t="s">
        <v>8563</v>
      </c>
      <c r="B9592" s="3" t="s">
        <v>8762</v>
      </c>
      <c r="C9592" s="3" t="s">
        <v>8764</v>
      </c>
      <c r="D9592" s="4" t="str">
        <f t="shared" ref="D9592:D9594" si="1173">HYPERLINK("https://12go.asia/en/travel/Dalaman-Airport/Orhaniye-Marti-Marina", "12Go Link")</f>
        <v>12Go Link</v>
      </c>
      <c r="E9592" s="3" t="s">
        <v>3196</v>
      </c>
      <c r="K9592" s="5"/>
    </row>
    <row r="9593">
      <c r="A9593" s="3" t="s">
        <v>8563</v>
      </c>
      <c r="B9593" s="3" t="s">
        <v>8762</v>
      </c>
      <c r="C9593" s="3" t="s">
        <v>8764</v>
      </c>
      <c r="D9593" s="4" t="str">
        <f t="shared" si="1173"/>
        <v>12Go Link</v>
      </c>
      <c r="E9593" s="3" t="s">
        <v>226</v>
      </c>
      <c r="K9593" s="5"/>
    </row>
    <row r="9594">
      <c r="A9594" s="3" t="s">
        <v>8563</v>
      </c>
      <c r="B9594" s="3" t="s">
        <v>8762</v>
      </c>
      <c r="C9594" s="3" t="s">
        <v>8764</v>
      </c>
      <c r="D9594" s="4" t="str">
        <f t="shared" si="1173"/>
        <v>12Go Link</v>
      </c>
      <c r="E9594" s="3" t="s">
        <v>3203</v>
      </c>
      <c r="K9594" s="5"/>
    </row>
    <row r="9595">
      <c r="A9595" s="3" t="s">
        <v>8563</v>
      </c>
      <c r="B9595" s="3" t="s">
        <v>8765</v>
      </c>
      <c r="C9595" s="3" t="s">
        <v>8766</v>
      </c>
      <c r="D9595" s="4" t="str">
        <f t="shared" ref="D9595:D9597" si="1174">HYPERLINK("https://12go.asia/en/travel/Dalaman-Airport/Sarigerme-Hotel-Transfer", "12Go Link")</f>
        <v>12Go Link</v>
      </c>
      <c r="E9595" s="3" t="s">
        <v>3196</v>
      </c>
      <c r="K9595" s="5"/>
    </row>
    <row r="9596">
      <c r="A9596" s="3" t="s">
        <v>8563</v>
      </c>
      <c r="B9596" s="3" t="s">
        <v>8765</v>
      </c>
      <c r="C9596" s="3" t="s">
        <v>8766</v>
      </c>
      <c r="D9596" s="4" t="str">
        <f t="shared" si="1174"/>
        <v>12Go Link</v>
      </c>
      <c r="E9596" s="3" t="s">
        <v>226</v>
      </c>
      <c r="K9596" s="5"/>
    </row>
    <row r="9597">
      <c r="A9597" s="3" t="s">
        <v>8563</v>
      </c>
      <c r="B9597" s="3" t="s">
        <v>8765</v>
      </c>
      <c r="C9597" s="3" t="s">
        <v>8766</v>
      </c>
      <c r="D9597" s="4" t="str">
        <f t="shared" si="1174"/>
        <v>12Go Link</v>
      </c>
      <c r="E9597" s="3" t="s">
        <v>3203</v>
      </c>
      <c r="K9597" s="5"/>
    </row>
    <row r="9598">
      <c r="A9598" s="3" t="s">
        <v>8563</v>
      </c>
      <c r="B9598" s="3" t="s">
        <v>8767</v>
      </c>
      <c r="C9598" s="3" t="s">
        <v>8768</v>
      </c>
      <c r="D9598" s="4" t="str">
        <f t="shared" ref="D9598:D9600" si="1175">HYPERLINK("https://12go.asia/en/travel/Dalaman-Airport/Selimiye-Hotel-Transfer", "12Go Link")</f>
        <v>12Go Link</v>
      </c>
      <c r="E9598" s="3" t="s">
        <v>3196</v>
      </c>
      <c r="K9598" s="5"/>
    </row>
    <row r="9599">
      <c r="A9599" s="3" t="s">
        <v>8563</v>
      </c>
      <c r="B9599" s="3" t="s">
        <v>8767</v>
      </c>
      <c r="C9599" s="3" t="s">
        <v>8768</v>
      </c>
      <c r="D9599" s="4" t="str">
        <f t="shared" si="1175"/>
        <v>12Go Link</v>
      </c>
      <c r="E9599" s="3" t="s">
        <v>226</v>
      </c>
      <c r="K9599" s="5"/>
    </row>
    <row r="9600">
      <c r="A9600" s="3" t="s">
        <v>8563</v>
      </c>
      <c r="B9600" s="3" t="s">
        <v>8767</v>
      </c>
      <c r="C9600" s="3" t="s">
        <v>8768</v>
      </c>
      <c r="D9600" s="4" t="str">
        <f t="shared" si="1175"/>
        <v>12Go Link</v>
      </c>
      <c r="E9600" s="3" t="s">
        <v>3203</v>
      </c>
      <c r="K9600" s="5"/>
    </row>
    <row r="9601">
      <c r="A9601" s="3" t="s">
        <v>8563</v>
      </c>
      <c r="B9601" s="3" t="s">
        <v>8769</v>
      </c>
      <c r="C9601" s="3" t="s">
        <v>8770</v>
      </c>
      <c r="D9601" s="4" t="str">
        <f t="shared" ref="D9601:D9603" si="1176">HYPERLINK("https://12go.asia/en/travel/Dalaman-Airport/Sogutkoy-Hotel-Transfer", "12Go Link")</f>
        <v>12Go Link</v>
      </c>
      <c r="E9601" s="3" t="s">
        <v>3196</v>
      </c>
      <c r="K9601" s="5"/>
    </row>
    <row r="9602">
      <c r="A9602" s="3" t="s">
        <v>8563</v>
      </c>
      <c r="B9602" s="3" t="s">
        <v>8769</v>
      </c>
      <c r="C9602" s="3" t="s">
        <v>8770</v>
      </c>
      <c r="D9602" s="4" t="str">
        <f t="shared" si="1176"/>
        <v>12Go Link</v>
      </c>
      <c r="E9602" s="3" t="s">
        <v>226</v>
      </c>
      <c r="K9602" s="5"/>
    </row>
    <row r="9603">
      <c r="A9603" s="3" t="s">
        <v>8563</v>
      </c>
      <c r="B9603" s="3" t="s">
        <v>8769</v>
      </c>
      <c r="C9603" s="3" t="s">
        <v>8770</v>
      </c>
      <c r="D9603" s="4" t="str">
        <f t="shared" si="1176"/>
        <v>12Go Link</v>
      </c>
      <c r="E9603" s="3" t="s">
        <v>3203</v>
      </c>
      <c r="K9603" s="5"/>
    </row>
    <row r="9604">
      <c r="A9604" s="3" t="s">
        <v>8563</v>
      </c>
      <c r="B9604" s="3" t="s">
        <v>8771</v>
      </c>
      <c r="C9604" s="3" t="s">
        <v>8772</v>
      </c>
      <c r="D9604" s="4" t="str">
        <f t="shared" ref="D9604:D9606" si="1177">HYPERLINK("https://12go.asia/en/travel/Dalaman-Airport/Turunc-Hotel-Transfer", "12Go Link")</f>
        <v>12Go Link</v>
      </c>
      <c r="E9604" s="3" t="s">
        <v>3196</v>
      </c>
      <c r="K9604" s="5"/>
    </row>
    <row r="9605">
      <c r="A9605" s="3" t="s">
        <v>8563</v>
      </c>
      <c r="B9605" s="3" t="s">
        <v>8771</v>
      </c>
      <c r="C9605" s="3" t="s">
        <v>8772</v>
      </c>
      <c r="D9605" s="4" t="str">
        <f t="shared" si="1177"/>
        <v>12Go Link</v>
      </c>
      <c r="E9605" s="3" t="s">
        <v>226</v>
      </c>
      <c r="K9605" s="5"/>
    </row>
    <row r="9606">
      <c r="A9606" s="3" t="s">
        <v>8563</v>
      </c>
      <c r="B9606" s="3" t="s">
        <v>8771</v>
      </c>
      <c r="C9606" s="3" t="s">
        <v>8772</v>
      </c>
      <c r="D9606" s="4" t="str">
        <f t="shared" si="1177"/>
        <v>12Go Link</v>
      </c>
      <c r="E9606" s="3" t="s">
        <v>3203</v>
      </c>
      <c r="K9606" s="5"/>
    </row>
    <row r="9607">
      <c r="A9607" s="3" t="s">
        <v>8563</v>
      </c>
      <c r="B9607" s="3" t="s">
        <v>8773</v>
      </c>
      <c r="C9607" s="3" t="s">
        <v>8774</v>
      </c>
      <c r="D9607" s="4" t="str">
        <f t="shared" ref="D9607:D9609" si="1178">HYPERLINK("https://12go.asia/en/travel/Dalaman-Airport/Yesiluzumlu-Hotel-Transfer", "12Go Link")</f>
        <v>12Go Link</v>
      </c>
      <c r="E9607" s="3" t="s">
        <v>3196</v>
      </c>
      <c r="K9607" s="5"/>
    </row>
    <row r="9608">
      <c r="A9608" s="3" t="s">
        <v>8563</v>
      </c>
      <c r="B9608" s="3" t="s">
        <v>8773</v>
      </c>
      <c r="C9608" s="3" t="s">
        <v>8774</v>
      </c>
      <c r="D9608" s="4" t="str">
        <f t="shared" si="1178"/>
        <v>12Go Link</v>
      </c>
      <c r="E9608" s="3" t="s">
        <v>226</v>
      </c>
      <c r="K9608" s="5"/>
    </row>
    <row r="9609">
      <c r="A9609" s="3" t="s">
        <v>8563</v>
      </c>
      <c r="B9609" s="3" t="s">
        <v>8773</v>
      </c>
      <c r="C9609" s="3" t="s">
        <v>8774</v>
      </c>
      <c r="D9609" s="4" t="str">
        <f t="shared" si="1178"/>
        <v>12Go Link</v>
      </c>
      <c r="E9609" s="3" t="s">
        <v>3203</v>
      </c>
      <c r="K9609" s="5"/>
    </row>
    <row r="9610">
      <c r="A9610" s="3" t="s">
        <v>8563</v>
      </c>
      <c r="B9610" s="3" t="s">
        <v>8775</v>
      </c>
      <c r="C9610" s="3" t="s">
        <v>8776</v>
      </c>
      <c r="D9610" s="4" t="str">
        <f t="shared" ref="D9610:D9612" si="1179">HYPERLINK("https://12go.asia/en/travel/Dalaman-Airport/Uzunyurt-Hotel-Transfer", "12Go Link")</f>
        <v>12Go Link</v>
      </c>
      <c r="E9610" s="3" t="s">
        <v>3196</v>
      </c>
      <c r="K9610" s="5"/>
    </row>
    <row r="9611">
      <c r="A9611" s="3" t="s">
        <v>8563</v>
      </c>
      <c r="B9611" s="3" t="s">
        <v>8775</v>
      </c>
      <c r="C9611" s="3" t="s">
        <v>8776</v>
      </c>
      <c r="D9611" s="4" t="str">
        <f t="shared" si="1179"/>
        <v>12Go Link</v>
      </c>
      <c r="E9611" s="3" t="s">
        <v>226</v>
      </c>
      <c r="K9611" s="5"/>
    </row>
    <row r="9612">
      <c r="A9612" s="3" t="s">
        <v>8563</v>
      </c>
      <c r="B9612" s="3" t="s">
        <v>8775</v>
      </c>
      <c r="C9612" s="3" t="s">
        <v>8776</v>
      </c>
      <c r="D9612" s="4" t="str">
        <f t="shared" si="1179"/>
        <v>12Go Link</v>
      </c>
      <c r="E9612" s="3" t="s">
        <v>3203</v>
      </c>
      <c r="K9612" s="5"/>
    </row>
    <row r="9613">
      <c r="A9613" s="3" t="s">
        <v>8563</v>
      </c>
      <c r="B9613" s="3" t="s">
        <v>8777</v>
      </c>
      <c r="C9613" s="3" t="s">
        <v>8778</v>
      </c>
      <c r="D9613" s="4" t="str">
        <f t="shared" ref="D9613:D9615" si="1180">HYPERLINK("https://12go.asia/en/travel/Dalaman-Airport/Yaniklar-Hotel-Transfer", "12Go Link")</f>
        <v>12Go Link</v>
      </c>
      <c r="E9613" s="3" t="s">
        <v>3196</v>
      </c>
      <c r="K9613" s="5"/>
    </row>
    <row r="9614">
      <c r="A9614" s="3" t="s">
        <v>8563</v>
      </c>
      <c r="B9614" s="3" t="s">
        <v>8777</v>
      </c>
      <c r="C9614" s="3" t="s">
        <v>8778</v>
      </c>
      <c r="D9614" s="4" t="str">
        <f t="shared" si="1180"/>
        <v>12Go Link</v>
      </c>
      <c r="E9614" s="3" t="s">
        <v>226</v>
      </c>
      <c r="K9614" s="5"/>
    </row>
    <row r="9615">
      <c r="A9615" s="3" t="s">
        <v>8563</v>
      </c>
      <c r="B9615" s="3" t="s">
        <v>8777</v>
      </c>
      <c r="C9615" s="3" t="s">
        <v>8778</v>
      </c>
      <c r="D9615" s="4" t="str">
        <f t="shared" si="1180"/>
        <v>12Go Link</v>
      </c>
      <c r="E9615" s="3" t="s">
        <v>3203</v>
      </c>
      <c r="K9615" s="5"/>
    </row>
    <row r="9616">
      <c r="A9616" s="3" t="s">
        <v>8709</v>
      </c>
      <c r="B9616" s="3" t="s">
        <v>8563</v>
      </c>
      <c r="C9616" s="3" t="s">
        <v>8779</v>
      </c>
      <c r="D9616" s="4" t="str">
        <f t="shared" ref="D9616:D9618" si="1181">HYPERLINK("https://12go.asia/en/travel/Dalyan-Hotel-Transfer/Dalaman-Airport", "12Go Link")</f>
        <v>12Go Link</v>
      </c>
      <c r="E9616" s="3" t="s">
        <v>3196</v>
      </c>
      <c r="K9616" s="5"/>
    </row>
    <row r="9617">
      <c r="A9617" s="3" t="s">
        <v>8709</v>
      </c>
      <c r="B9617" s="3" t="s">
        <v>8563</v>
      </c>
      <c r="C9617" s="3" t="s">
        <v>8779</v>
      </c>
      <c r="D9617" s="4" t="str">
        <f t="shared" si="1181"/>
        <v>12Go Link</v>
      </c>
      <c r="E9617" s="3" t="s">
        <v>226</v>
      </c>
      <c r="K9617" s="5"/>
    </row>
    <row r="9618">
      <c r="A9618" s="3" t="s">
        <v>8709</v>
      </c>
      <c r="B9618" s="3" t="s">
        <v>8563</v>
      </c>
      <c r="C9618" s="3" t="s">
        <v>8779</v>
      </c>
      <c r="D9618" s="4" t="str">
        <f t="shared" si="1181"/>
        <v>12Go Link</v>
      </c>
      <c r="E9618" s="3" t="s">
        <v>3203</v>
      </c>
      <c r="K9618" s="5"/>
    </row>
    <row r="9619">
      <c r="A9619" s="3" t="s">
        <v>8709</v>
      </c>
      <c r="B9619" s="3" t="s">
        <v>8594</v>
      </c>
      <c r="C9619" s="3" t="s">
        <v>8780</v>
      </c>
      <c r="D9619" s="4" t="str">
        <f t="shared" ref="D9619:D9621" si="1182">HYPERLINK("https://12go.asia/en/travel/Dalyan-Hotel-Transfer/Adnan-Menderes-Airport", "12Go Link")</f>
        <v>12Go Link</v>
      </c>
      <c r="E9619" s="3" t="s">
        <v>3196</v>
      </c>
      <c r="K9619" s="5"/>
    </row>
    <row r="9620">
      <c r="A9620" s="3" t="s">
        <v>8709</v>
      </c>
      <c r="B9620" s="3" t="s">
        <v>8594</v>
      </c>
      <c r="C9620" s="3" t="s">
        <v>8780</v>
      </c>
      <c r="D9620" s="4" t="str">
        <f t="shared" si="1182"/>
        <v>12Go Link</v>
      </c>
      <c r="E9620" s="3" t="s">
        <v>226</v>
      </c>
      <c r="K9620" s="5"/>
    </row>
    <row r="9621">
      <c r="A9621" s="3" t="s">
        <v>8709</v>
      </c>
      <c r="B9621" s="3" t="s">
        <v>8594</v>
      </c>
      <c r="C9621" s="3" t="s">
        <v>8780</v>
      </c>
      <c r="D9621" s="4" t="str">
        <f t="shared" si="1182"/>
        <v>12Go Link</v>
      </c>
      <c r="E9621" s="3" t="s">
        <v>3203</v>
      </c>
      <c r="K9621" s="5"/>
    </row>
    <row r="9622">
      <c r="A9622" s="3" t="s">
        <v>8711</v>
      </c>
      <c r="B9622" s="3" t="s">
        <v>8563</v>
      </c>
      <c r="C9622" s="3" t="s">
        <v>8781</v>
      </c>
      <c r="D9622" s="4" t="str">
        <f t="shared" ref="D9622:D9624" si="1183">HYPERLINK("https://12go.asia/en/travel/Datca-Hotel-Transfer/Dalaman-Airport", "12Go Link")</f>
        <v>12Go Link</v>
      </c>
      <c r="E9622" s="3" t="s">
        <v>3196</v>
      </c>
      <c r="K9622" s="5"/>
    </row>
    <row r="9623">
      <c r="A9623" s="3" t="s">
        <v>8711</v>
      </c>
      <c r="B9623" s="3" t="s">
        <v>8563</v>
      </c>
      <c r="C9623" s="3" t="s">
        <v>8781</v>
      </c>
      <c r="D9623" s="4" t="str">
        <f t="shared" si="1183"/>
        <v>12Go Link</v>
      </c>
      <c r="E9623" s="3" t="s">
        <v>226</v>
      </c>
      <c r="K9623" s="5"/>
    </row>
    <row r="9624">
      <c r="A9624" s="3" t="s">
        <v>8711</v>
      </c>
      <c r="B9624" s="3" t="s">
        <v>8563</v>
      </c>
      <c r="C9624" s="3" t="s">
        <v>8781</v>
      </c>
      <c r="D9624" s="4" t="str">
        <f t="shared" si="1183"/>
        <v>12Go Link</v>
      </c>
      <c r="E9624" s="3" t="s">
        <v>3203</v>
      </c>
      <c r="K9624" s="5"/>
    </row>
    <row r="9625">
      <c r="A9625" s="3" t="s">
        <v>8782</v>
      </c>
      <c r="B9625" s="3" t="s">
        <v>8594</v>
      </c>
      <c r="C9625" s="3" t="s">
        <v>8783</v>
      </c>
      <c r="D9625" s="4" t="str">
        <f t="shared" ref="D9625:D9627" si="1184">HYPERLINK("https://12go.asia/en/travel/Davutlar-Hotel-Transfer/Adnan-Menderes-Airport", "12Go Link")</f>
        <v>12Go Link</v>
      </c>
      <c r="E9625" s="3" t="s">
        <v>3196</v>
      </c>
      <c r="K9625" s="5"/>
    </row>
    <row r="9626">
      <c r="A9626" s="3" t="s">
        <v>8782</v>
      </c>
      <c r="B9626" s="3" t="s">
        <v>8594</v>
      </c>
      <c r="C9626" s="3" t="s">
        <v>8783</v>
      </c>
      <c r="D9626" s="4" t="str">
        <f t="shared" si="1184"/>
        <v>12Go Link</v>
      </c>
      <c r="E9626" s="3" t="s">
        <v>226</v>
      </c>
      <c r="K9626" s="5"/>
    </row>
    <row r="9627">
      <c r="A9627" s="3" t="s">
        <v>8782</v>
      </c>
      <c r="B9627" s="3" t="s">
        <v>8594</v>
      </c>
      <c r="C9627" s="3" t="s">
        <v>8783</v>
      </c>
      <c r="D9627" s="4" t="str">
        <f t="shared" si="1184"/>
        <v>12Go Link</v>
      </c>
      <c r="E9627" s="3" t="s">
        <v>3203</v>
      </c>
      <c r="K9627" s="5"/>
    </row>
    <row r="9628">
      <c r="A9628" s="3" t="s">
        <v>8713</v>
      </c>
      <c r="B9628" s="3" t="s">
        <v>8563</v>
      </c>
      <c r="C9628" s="3" t="s">
        <v>8784</v>
      </c>
      <c r="D9628" s="4" t="str">
        <f t="shared" ref="D9628:D9630" si="1185">HYPERLINK("https://12go.asia/en/travel/Demre-Hotel-Transfer/Dalaman-Airport", "12Go Link")</f>
        <v>12Go Link</v>
      </c>
      <c r="E9628" s="3" t="s">
        <v>3196</v>
      </c>
      <c r="K9628" s="5"/>
    </row>
    <row r="9629">
      <c r="A9629" s="3" t="s">
        <v>8713</v>
      </c>
      <c r="B9629" s="3" t="s">
        <v>8563</v>
      </c>
      <c r="C9629" s="3" t="s">
        <v>8784</v>
      </c>
      <c r="D9629" s="4" t="str">
        <f t="shared" si="1185"/>
        <v>12Go Link</v>
      </c>
      <c r="E9629" s="3" t="s">
        <v>226</v>
      </c>
      <c r="K9629" s="5"/>
    </row>
    <row r="9630">
      <c r="A9630" s="3" t="s">
        <v>8713</v>
      </c>
      <c r="B9630" s="3" t="s">
        <v>8563</v>
      </c>
      <c r="C9630" s="3" t="s">
        <v>8784</v>
      </c>
      <c r="D9630" s="4" t="str">
        <f t="shared" si="1185"/>
        <v>12Go Link</v>
      </c>
      <c r="E9630" s="3" t="s">
        <v>3203</v>
      </c>
      <c r="K9630" s="5"/>
    </row>
    <row r="9631">
      <c r="A9631" s="3" t="s">
        <v>8785</v>
      </c>
      <c r="B9631" s="3" t="s">
        <v>8594</v>
      </c>
      <c r="C9631" s="3" t="s">
        <v>8786</v>
      </c>
      <c r="D9631" s="4" t="str">
        <f t="shared" ref="D9631:D9633" si="1186">HYPERLINK("https://12go.asia/en/travel/Denizli-Hotel-Transfer/Adnan-Menderes-Airport", "12Go Link")</f>
        <v>12Go Link</v>
      </c>
      <c r="E9631" s="3" t="s">
        <v>3196</v>
      </c>
      <c r="K9631" s="5"/>
    </row>
    <row r="9632">
      <c r="A9632" s="3" t="s">
        <v>8785</v>
      </c>
      <c r="B9632" s="3" t="s">
        <v>8594</v>
      </c>
      <c r="C9632" s="3" t="s">
        <v>8786</v>
      </c>
      <c r="D9632" s="4" t="str">
        <f t="shared" si="1186"/>
        <v>12Go Link</v>
      </c>
      <c r="E9632" s="3" t="s">
        <v>226</v>
      </c>
      <c r="K9632" s="5"/>
    </row>
    <row r="9633">
      <c r="A9633" s="3" t="s">
        <v>8785</v>
      </c>
      <c r="B9633" s="3" t="s">
        <v>8594</v>
      </c>
      <c r="C9633" s="3" t="s">
        <v>8786</v>
      </c>
      <c r="D9633" s="4" t="str">
        <f t="shared" si="1186"/>
        <v>12Go Link</v>
      </c>
      <c r="E9633" s="3" t="s">
        <v>3203</v>
      </c>
      <c r="K9633" s="5"/>
    </row>
    <row r="9634">
      <c r="A9634" s="3" t="s">
        <v>8787</v>
      </c>
      <c r="B9634" s="3" t="s">
        <v>8594</v>
      </c>
      <c r="C9634" s="3" t="s">
        <v>8788</v>
      </c>
      <c r="D9634" s="4" t="str">
        <f t="shared" ref="D9634:D9636" si="1187">HYPERLINK("https://12go.asia/en/travel/Dikili-Hotel-Transfer/Adnan-Menderes-Airport", "12Go Link")</f>
        <v>12Go Link</v>
      </c>
      <c r="E9634" s="3" t="s">
        <v>3196</v>
      </c>
      <c r="K9634" s="5"/>
    </row>
    <row r="9635">
      <c r="A9635" s="3" t="s">
        <v>8787</v>
      </c>
      <c r="B9635" s="3" t="s">
        <v>8594</v>
      </c>
      <c r="C9635" s="3" t="s">
        <v>8788</v>
      </c>
      <c r="D9635" s="4" t="str">
        <f t="shared" si="1187"/>
        <v>12Go Link</v>
      </c>
      <c r="E9635" s="3" t="s">
        <v>226</v>
      </c>
      <c r="K9635" s="5"/>
    </row>
    <row r="9636">
      <c r="A9636" s="3" t="s">
        <v>8787</v>
      </c>
      <c r="B9636" s="3" t="s">
        <v>8594</v>
      </c>
      <c r="C9636" s="3" t="s">
        <v>8788</v>
      </c>
      <c r="D9636" s="4" t="str">
        <f t="shared" si="1187"/>
        <v>12Go Link</v>
      </c>
      <c r="E9636" s="3" t="s">
        <v>3203</v>
      </c>
      <c r="K9636" s="5"/>
    </row>
    <row r="9637">
      <c r="A9637" s="3" t="s">
        <v>8715</v>
      </c>
      <c r="B9637" s="3" t="s">
        <v>8563</v>
      </c>
      <c r="C9637" s="3" t="s">
        <v>8789</v>
      </c>
      <c r="D9637" s="4" t="str">
        <f t="shared" ref="D9637:D9639" si="1188">HYPERLINK("https://12go.asia/en/travel/Ekincik-Hotel-Transfer/Dalaman-Airport", "12Go Link")</f>
        <v>12Go Link</v>
      </c>
      <c r="E9637" s="3" t="s">
        <v>3196</v>
      </c>
      <c r="K9637" s="5"/>
    </row>
    <row r="9638">
      <c r="A9638" s="3" t="s">
        <v>8715</v>
      </c>
      <c r="B9638" s="3" t="s">
        <v>8563</v>
      </c>
      <c r="C9638" s="3" t="s">
        <v>8789</v>
      </c>
      <c r="D9638" s="4" t="str">
        <f t="shared" si="1188"/>
        <v>12Go Link</v>
      </c>
      <c r="E9638" s="3" t="s">
        <v>226</v>
      </c>
      <c r="K9638" s="5"/>
    </row>
    <row r="9639">
      <c r="A9639" s="3" t="s">
        <v>8715</v>
      </c>
      <c r="B9639" s="3" t="s">
        <v>8563</v>
      </c>
      <c r="C9639" s="3" t="s">
        <v>8789</v>
      </c>
      <c r="D9639" s="4" t="str">
        <f t="shared" si="1188"/>
        <v>12Go Link</v>
      </c>
      <c r="E9639" s="3" t="s">
        <v>3203</v>
      </c>
      <c r="K9639" s="5"/>
    </row>
    <row r="9640">
      <c r="A9640" s="3" t="s">
        <v>8717</v>
      </c>
      <c r="B9640" s="3" t="s">
        <v>8566</v>
      </c>
      <c r="C9640" s="3" t="s">
        <v>8790</v>
      </c>
      <c r="D9640" s="4" t="str">
        <f t="shared" ref="D9640:D9641" si="1189">HYPERLINK("https://12go.asia/en/travel/Fethiye-Hotel-Transfer/Avanos-Hotel-Transfer", "12Go Link")</f>
        <v>12Go Link</v>
      </c>
      <c r="E9640" s="3" t="s">
        <v>8568</v>
      </c>
      <c r="K9640" s="5"/>
    </row>
    <row r="9641">
      <c r="A9641" s="3" t="s">
        <v>8717</v>
      </c>
      <c r="B9641" s="3" t="s">
        <v>8566</v>
      </c>
      <c r="C9641" s="3" t="s">
        <v>8790</v>
      </c>
      <c r="D9641" s="4" t="str">
        <f t="shared" si="1189"/>
        <v>12Go Link</v>
      </c>
      <c r="E9641" s="3" t="s">
        <v>228</v>
      </c>
      <c r="K9641" s="5"/>
    </row>
    <row r="9642">
      <c r="A9642" s="3" t="s">
        <v>8717</v>
      </c>
      <c r="B9642" s="3" t="s">
        <v>8570</v>
      </c>
      <c r="C9642" s="3" t="s">
        <v>8791</v>
      </c>
      <c r="D9642" s="4" t="str">
        <f t="shared" ref="D9642:D9643" si="1190">HYPERLINK("https://12go.asia/en/travel/Fethiye-Hotel-Transfer/Cappadocia-Hotel-Transfer", "12Go Link")</f>
        <v>12Go Link</v>
      </c>
      <c r="E9642" s="3" t="s">
        <v>8568</v>
      </c>
      <c r="K9642" s="5"/>
    </row>
    <row r="9643">
      <c r="A9643" s="3" t="s">
        <v>8717</v>
      </c>
      <c r="B9643" s="3" t="s">
        <v>8570</v>
      </c>
      <c r="C9643" s="3" t="s">
        <v>8791</v>
      </c>
      <c r="D9643" s="4" t="str">
        <f t="shared" si="1190"/>
        <v>12Go Link</v>
      </c>
      <c r="E9643" s="3" t="s">
        <v>228</v>
      </c>
      <c r="K9643" s="5"/>
    </row>
    <row r="9644">
      <c r="A9644" s="3" t="s">
        <v>8717</v>
      </c>
      <c r="B9644" s="3" t="s">
        <v>8573</v>
      </c>
      <c r="C9644" s="3" t="s">
        <v>8792</v>
      </c>
      <c r="D9644" s="4" t="str">
        <f t="shared" ref="D9644:D9645" si="1191">HYPERLINK("https://12go.asia/en/travel/Fethiye-Hotel-Transfer/Cavusin-Hotel-Transfer", "12Go Link")</f>
        <v>12Go Link</v>
      </c>
      <c r="E9644" s="3" t="s">
        <v>8568</v>
      </c>
      <c r="K9644" s="5"/>
    </row>
    <row r="9645">
      <c r="A9645" s="3" t="s">
        <v>8717</v>
      </c>
      <c r="B9645" s="3" t="s">
        <v>8573</v>
      </c>
      <c r="C9645" s="3" t="s">
        <v>8792</v>
      </c>
      <c r="D9645" s="4" t="str">
        <f t="shared" si="1191"/>
        <v>12Go Link</v>
      </c>
      <c r="E9645" s="3" t="s">
        <v>228</v>
      </c>
      <c r="K9645" s="5"/>
    </row>
    <row r="9646">
      <c r="A9646" s="3" t="s">
        <v>8717</v>
      </c>
      <c r="B9646" s="3" t="s">
        <v>8563</v>
      </c>
      <c r="C9646" s="3" t="s">
        <v>8793</v>
      </c>
      <c r="D9646" s="4" t="str">
        <f t="shared" ref="D9646:D9648" si="1192">HYPERLINK("https://12go.asia/en/travel/Calis-Beach/Dalaman-Airport", "12Go Link")</f>
        <v>12Go Link</v>
      </c>
      <c r="E9646" s="3" t="s">
        <v>3196</v>
      </c>
      <c r="K9646" s="5"/>
    </row>
    <row r="9647">
      <c r="A9647" s="3" t="s">
        <v>8717</v>
      </c>
      <c r="B9647" s="3" t="s">
        <v>8563</v>
      </c>
      <c r="C9647" s="3" t="s">
        <v>8793</v>
      </c>
      <c r="D9647" s="4" t="str">
        <f t="shared" si="1192"/>
        <v>12Go Link</v>
      </c>
      <c r="E9647" s="3" t="s">
        <v>226</v>
      </c>
      <c r="K9647" s="5"/>
    </row>
    <row r="9648">
      <c r="A9648" s="3" t="s">
        <v>8717</v>
      </c>
      <c r="B9648" s="3" t="s">
        <v>8563</v>
      </c>
      <c r="C9648" s="3" t="s">
        <v>8793</v>
      </c>
      <c r="D9648" s="4" t="str">
        <f t="shared" si="1192"/>
        <v>12Go Link</v>
      </c>
      <c r="E9648" s="3" t="s">
        <v>3203</v>
      </c>
      <c r="K9648" s="5"/>
    </row>
    <row r="9649">
      <c r="A9649" s="3" t="s">
        <v>8717</v>
      </c>
      <c r="B9649" s="3" t="s">
        <v>8563</v>
      </c>
      <c r="C9649" s="3" t="s">
        <v>8794</v>
      </c>
      <c r="D9649" s="4" t="str">
        <f t="shared" ref="D9649:D9651" si="1193">HYPERLINK("https://12go.asia/en/travel/Fethiye-Ece-Saray-Marina/Dalaman-Airport", "12Go Link")</f>
        <v>12Go Link</v>
      </c>
      <c r="E9649" s="3" t="s">
        <v>3196</v>
      </c>
      <c r="K9649" s="5"/>
    </row>
    <row r="9650">
      <c r="A9650" s="3" t="s">
        <v>8717</v>
      </c>
      <c r="B9650" s="3" t="s">
        <v>8563</v>
      </c>
      <c r="C9650" s="3" t="s">
        <v>8794</v>
      </c>
      <c r="D9650" s="4" t="str">
        <f t="shared" si="1193"/>
        <v>12Go Link</v>
      </c>
      <c r="E9650" s="3" t="s">
        <v>226</v>
      </c>
      <c r="K9650" s="5"/>
    </row>
    <row r="9651">
      <c r="A9651" s="3" t="s">
        <v>8717</v>
      </c>
      <c r="B9651" s="3" t="s">
        <v>8563</v>
      </c>
      <c r="C9651" s="3" t="s">
        <v>8794</v>
      </c>
      <c r="D9651" s="4" t="str">
        <f t="shared" si="1193"/>
        <v>12Go Link</v>
      </c>
      <c r="E9651" s="3" t="s">
        <v>3203</v>
      </c>
      <c r="K9651" s="5"/>
    </row>
    <row r="9652">
      <c r="A9652" s="3" t="s">
        <v>8717</v>
      </c>
      <c r="B9652" s="3" t="s">
        <v>8563</v>
      </c>
      <c r="C9652" s="3" t="s">
        <v>8795</v>
      </c>
      <c r="D9652" s="4" t="str">
        <f t="shared" ref="D9652:D9655" si="1194">HYPERLINK("https://12go.asia/en/travel/Fethiye-Hotel-Transfer/Dalaman-Airport", "12Go Link")</f>
        <v>12Go Link</v>
      </c>
      <c r="E9652" s="3" t="s">
        <v>3481</v>
      </c>
      <c r="K9652" s="5"/>
    </row>
    <row r="9653">
      <c r="A9653" s="3" t="s">
        <v>8717</v>
      </c>
      <c r="B9653" s="3" t="s">
        <v>8563</v>
      </c>
      <c r="C9653" s="3" t="s">
        <v>8795</v>
      </c>
      <c r="D9653" s="4" t="str">
        <f t="shared" si="1194"/>
        <v>12Go Link</v>
      </c>
      <c r="E9653" s="3" t="s">
        <v>3196</v>
      </c>
      <c r="K9653" s="5"/>
    </row>
    <row r="9654">
      <c r="A9654" s="3" t="s">
        <v>8717</v>
      </c>
      <c r="B9654" s="3" t="s">
        <v>8563</v>
      </c>
      <c r="C9654" s="3" t="s">
        <v>8795</v>
      </c>
      <c r="D9654" s="4" t="str">
        <f t="shared" si="1194"/>
        <v>12Go Link</v>
      </c>
      <c r="E9654" s="3" t="s">
        <v>226</v>
      </c>
      <c r="K9654" s="5"/>
    </row>
    <row r="9655">
      <c r="A9655" s="3" t="s">
        <v>8717</v>
      </c>
      <c r="B9655" s="3" t="s">
        <v>8563</v>
      </c>
      <c r="C9655" s="3" t="s">
        <v>8795</v>
      </c>
      <c r="D9655" s="4" t="str">
        <f t="shared" si="1194"/>
        <v>12Go Link</v>
      </c>
      <c r="E9655" s="3" t="s">
        <v>3203</v>
      </c>
      <c r="K9655" s="5"/>
    </row>
    <row r="9656">
      <c r="A9656" s="3" t="s">
        <v>8717</v>
      </c>
      <c r="B9656" s="3" t="s">
        <v>8576</v>
      </c>
      <c r="C9656" s="3" t="s">
        <v>8796</v>
      </c>
      <c r="D9656" s="4" t="str">
        <f t="shared" ref="D9656:D9657" si="1195">HYPERLINK("https://12go.asia/en/travel/Fethiye-Hotel-Transfer/Goreme-Hotel-Transfer", "12Go Link")</f>
        <v>12Go Link</v>
      </c>
      <c r="E9656" s="3" t="s">
        <v>8568</v>
      </c>
      <c r="K9656" s="5"/>
    </row>
    <row r="9657">
      <c r="A9657" s="3" t="s">
        <v>8717</v>
      </c>
      <c r="B9657" s="3" t="s">
        <v>8576</v>
      </c>
      <c r="C9657" s="3" t="s">
        <v>8796</v>
      </c>
      <c r="D9657" s="4" t="str">
        <f t="shared" si="1195"/>
        <v>12Go Link</v>
      </c>
      <c r="E9657" s="3" t="s">
        <v>228</v>
      </c>
      <c r="K9657" s="5"/>
    </row>
    <row r="9658">
      <c r="A9658" s="3" t="s">
        <v>8717</v>
      </c>
      <c r="B9658" s="3" t="s">
        <v>8594</v>
      </c>
      <c r="C9658" s="3" t="s">
        <v>8797</v>
      </c>
      <c r="D9658" s="4" t="str">
        <f t="shared" ref="D9658:D9660" si="1196">HYPERLINK("https://12go.asia/en/travel/Fethiye-Hotel-Transfer/Adnan-Menderes-Airport", "12Go Link")</f>
        <v>12Go Link</v>
      </c>
      <c r="E9658" s="3" t="s">
        <v>3196</v>
      </c>
      <c r="K9658" s="5"/>
    </row>
    <row r="9659">
      <c r="A9659" s="3" t="s">
        <v>8717</v>
      </c>
      <c r="B9659" s="3" t="s">
        <v>8594</v>
      </c>
      <c r="C9659" s="3" t="s">
        <v>8797</v>
      </c>
      <c r="D9659" s="4" t="str">
        <f t="shared" si="1196"/>
        <v>12Go Link</v>
      </c>
      <c r="E9659" s="3" t="s">
        <v>226</v>
      </c>
      <c r="K9659" s="5"/>
    </row>
    <row r="9660">
      <c r="A9660" s="3" t="s">
        <v>8717</v>
      </c>
      <c r="B9660" s="3" t="s">
        <v>8594</v>
      </c>
      <c r="C9660" s="3" t="s">
        <v>8797</v>
      </c>
      <c r="D9660" s="4" t="str">
        <f t="shared" si="1196"/>
        <v>12Go Link</v>
      </c>
      <c r="E9660" s="3" t="s">
        <v>3203</v>
      </c>
      <c r="K9660" s="5"/>
    </row>
    <row r="9661">
      <c r="A9661" s="3" t="s">
        <v>8717</v>
      </c>
      <c r="B9661" s="3" t="s">
        <v>8581</v>
      </c>
      <c r="C9661" s="3" t="s">
        <v>8798</v>
      </c>
      <c r="D9661" s="4" t="str">
        <f t="shared" ref="D9661:D9662" si="1197">HYPERLINK("https://12go.asia/en/travel/Fethiye-Hotel-Transfer/Nevsehir-Hotel-Transfer", "12Go Link")</f>
        <v>12Go Link</v>
      </c>
      <c r="E9661" s="3" t="s">
        <v>8568</v>
      </c>
      <c r="K9661" s="5"/>
    </row>
    <row r="9662">
      <c r="A9662" s="3" t="s">
        <v>8717</v>
      </c>
      <c r="B9662" s="3" t="s">
        <v>8581</v>
      </c>
      <c r="C9662" s="3" t="s">
        <v>8798</v>
      </c>
      <c r="D9662" s="4" t="str">
        <f t="shared" si="1197"/>
        <v>12Go Link</v>
      </c>
      <c r="E9662" s="3" t="s">
        <v>228</v>
      </c>
      <c r="K9662" s="5"/>
    </row>
    <row r="9663">
      <c r="A9663" s="3" t="s">
        <v>8717</v>
      </c>
      <c r="B9663" s="3" t="s">
        <v>8584</v>
      </c>
      <c r="C9663" s="3" t="s">
        <v>8799</v>
      </c>
      <c r="D9663" s="4" t="str">
        <f t="shared" ref="D9663:D9664" si="1198">HYPERLINK("https://12go.asia/en/travel/Fethiye-Hotel-Transfer/Ortahisar-Hotel-Transfer", "12Go Link")</f>
        <v>12Go Link</v>
      </c>
      <c r="E9663" s="3" t="s">
        <v>8568</v>
      </c>
      <c r="K9663" s="5"/>
    </row>
    <row r="9664">
      <c r="A9664" s="3" t="s">
        <v>8717</v>
      </c>
      <c r="B9664" s="3" t="s">
        <v>8584</v>
      </c>
      <c r="C9664" s="3" t="s">
        <v>8799</v>
      </c>
      <c r="D9664" s="4" t="str">
        <f t="shared" si="1198"/>
        <v>12Go Link</v>
      </c>
      <c r="E9664" s="3" t="s">
        <v>228</v>
      </c>
      <c r="K9664" s="5"/>
    </row>
    <row r="9665">
      <c r="A9665" s="3" t="s">
        <v>8717</v>
      </c>
      <c r="B9665" s="3" t="s">
        <v>8587</v>
      </c>
      <c r="C9665" s="3" t="s">
        <v>8800</v>
      </c>
      <c r="D9665" s="4" t="str">
        <f t="shared" ref="D9665:D9666" si="1199">HYPERLINK("https://12go.asia/en/travel/Fethiye-Hotel-Transfer/Uchisar-Hotel-Transfer", "12Go Link")</f>
        <v>12Go Link</v>
      </c>
      <c r="E9665" s="3" t="s">
        <v>8568</v>
      </c>
      <c r="K9665" s="5"/>
    </row>
    <row r="9666">
      <c r="A9666" s="3" t="s">
        <v>8717</v>
      </c>
      <c r="B9666" s="3" t="s">
        <v>8587</v>
      </c>
      <c r="C9666" s="3" t="s">
        <v>8800</v>
      </c>
      <c r="D9666" s="4" t="str">
        <f t="shared" si="1199"/>
        <v>12Go Link</v>
      </c>
      <c r="E9666" s="3" t="s">
        <v>228</v>
      </c>
      <c r="K9666" s="5"/>
    </row>
    <row r="9667">
      <c r="A9667" s="3" t="s">
        <v>8717</v>
      </c>
      <c r="B9667" s="3" t="s">
        <v>8590</v>
      </c>
      <c r="C9667" s="3" t="s">
        <v>8801</v>
      </c>
      <c r="D9667" s="4" t="str">
        <f t="shared" ref="D9667:D9668" si="1200">HYPERLINK("https://12go.asia/en/travel/Fethiye-Hotel-Transfer/Urgup-Hotel-Transfer", "12Go Link")</f>
        <v>12Go Link</v>
      </c>
      <c r="E9667" s="3" t="s">
        <v>8568</v>
      </c>
      <c r="K9667" s="5"/>
    </row>
    <row r="9668">
      <c r="A9668" s="3" t="s">
        <v>8717</v>
      </c>
      <c r="B9668" s="3" t="s">
        <v>8590</v>
      </c>
      <c r="C9668" s="3" t="s">
        <v>8801</v>
      </c>
      <c r="D9668" s="4" t="str">
        <f t="shared" si="1200"/>
        <v>12Go Link</v>
      </c>
      <c r="E9668" s="3" t="s">
        <v>228</v>
      </c>
      <c r="K9668" s="5"/>
    </row>
    <row r="9669">
      <c r="A9669" s="3" t="s">
        <v>8802</v>
      </c>
      <c r="B9669" s="3" t="s">
        <v>8594</v>
      </c>
      <c r="C9669" s="3" t="s">
        <v>8803</v>
      </c>
      <c r="D9669" s="4" t="str">
        <f t="shared" ref="D9669:D9671" si="1201">HYPERLINK("https://12go.asia/en/travel/Foca-Hotel-Transfer/Adnan-Menderes-Airport", "12Go Link")</f>
        <v>12Go Link</v>
      </c>
      <c r="E9669" s="3" t="s">
        <v>3196</v>
      </c>
      <c r="K9669" s="5"/>
    </row>
    <row r="9670">
      <c r="A9670" s="3" t="s">
        <v>8802</v>
      </c>
      <c r="B9670" s="3" t="s">
        <v>8594</v>
      </c>
      <c r="C9670" s="3" t="s">
        <v>8803</v>
      </c>
      <c r="D9670" s="4" t="str">
        <f t="shared" si="1201"/>
        <v>12Go Link</v>
      </c>
      <c r="E9670" s="3" t="s">
        <v>226</v>
      </c>
      <c r="K9670" s="5"/>
    </row>
    <row r="9671">
      <c r="A9671" s="3" t="s">
        <v>8802</v>
      </c>
      <c r="B9671" s="3" t="s">
        <v>8594</v>
      </c>
      <c r="C9671" s="3" t="s">
        <v>8803</v>
      </c>
      <c r="D9671" s="4" t="str">
        <f t="shared" si="1201"/>
        <v>12Go Link</v>
      </c>
      <c r="E9671" s="3" t="s">
        <v>3203</v>
      </c>
      <c r="K9671" s="5"/>
    </row>
    <row r="9672">
      <c r="A9672" s="3" t="s">
        <v>8643</v>
      </c>
      <c r="B9672" s="3" t="s">
        <v>8601</v>
      </c>
      <c r="C9672" s="3" t="s">
        <v>8804</v>
      </c>
      <c r="D9672" s="4" t="str">
        <f t="shared" ref="D9672:D9674" si="1202">HYPERLINK("https://12go.asia/en/travel/Gazipasa-Hotel-Transfer/Antalya-Airport", "12Go Link")</f>
        <v>12Go Link</v>
      </c>
      <c r="E9672" s="3" t="s">
        <v>3196</v>
      </c>
      <c r="K9672" s="5"/>
    </row>
    <row r="9673">
      <c r="A9673" s="3" t="s">
        <v>8643</v>
      </c>
      <c r="B9673" s="3" t="s">
        <v>8601</v>
      </c>
      <c r="C9673" s="3" t="s">
        <v>8804</v>
      </c>
      <c r="D9673" s="4" t="str">
        <f t="shared" si="1202"/>
        <v>12Go Link</v>
      </c>
      <c r="E9673" s="3" t="s">
        <v>226</v>
      </c>
      <c r="K9673" s="5"/>
    </row>
    <row r="9674">
      <c r="A9674" s="3" t="s">
        <v>8643</v>
      </c>
      <c r="B9674" s="3" t="s">
        <v>8601</v>
      </c>
      <c r="C9674" s="3" t="s">
        <v>8804</v>
      </c>
      <c r="D9674" s="4" t="str">
        <f t="shared" si="1202"/>
        <v>12Go Link</v>
      </c>
      <c r="E9674" s="3" t="s">
        <v>3203</v>
      </c>
      <c r="K9674" s="5"/>
    </row>
    <row r="9675">
      <c r="A9675" s="3" t="s">
        <v>8721</v>
      </c>
      <c r="B9675" s="3" t="s">
        <v>8563</v>
      </c>
      <c r="C9675" s="3" t="s">
        <v>8805</v>
      </c>
      <c r="D9675" s="4" t="str">
        <f t="shared" ref="D9675:D9677" si="1203">HYPERLINK("https://12go.asia/en/travel/Patara-Beach/Dalaman-Airport", "12Go Link")</f>
        <v>12Go Link</v>
      </c>
      <c r="E9675" s="3" t="s">
        <v>3196</v>
      </c>
      <c r="K9675" s="5"/>
    </row>
    <row r="9676">
      <c r="A9676" s="3" t="s">
        <v>8721</v>
      </c>
      <c r="B9676" s="3" t="s">
        <v>8563</v>
      </c>
      <c r="C9676" s="3" t="s">
        <v>8805</v>
      </c>
      <c r="D9676" s="4" t="str">
        <f t="shared" si="1203"/>
        <v>12Go Link</v>
      </c>
      <c r="E9676" s="3" t="s">
        <v>226</v>
      </c>
      <c r="K9676" s="5"/>
    </row>
    <row r="9677">
      <c r="A9677" s="3" t="s">
        <v>8721</v>
      </c>
      <c r="B9677" s="3" t="s">
        <v>8563</v>
      </c>
      <c r="C9677" s="3" t="s">
        <v>8805</v>
      </c>
      <c r="D9677" s="4" t="str">
        <f t="shared" si="1203"/>
        <v>12Go Link</v>
      </c>
      <c r="E9677" s="3" t="s">
        <v>3203</v>
      </c>
      <c r="K9677" s="5"/>
    </row>
    <row r="9678">
      <c r="A9678" s="3" t="s">
        <v>8806</v>
      </c>
      <c r="B9678" s="3" t="s">
        <v>8594</v>
      </c>
      <c r="C9678" s="3" t="s">
        <v>8807</v>
      </c>
      <c r="D9678" s="4" t="str">
        <f t="shared" ref="D9678:D9680" si="1204">HYPERLINK("https://12go.asia/en/travel/Germencik-Hotel-Transfer/Adnan-Menderes-Airport", "12Go Link")</f>
        <v>12Go Link</v>
      </c>
      <c r="E9678" s="3" t="s">
        <v>3196</v>
      </c>
      <c r="K9678" s="5"/>
    </row>
    <row r="9679">
      <c r="A9679" s="3" t="s">
        <v>8806</v>
      </c>
      <c r="B9679" s="3" t="s">
        <v>8594</v>
      </c>
      <c r="C9679" s="3" t="s">
        <v>8807</v>
      </c>
      <c r="D9679" s="4" t="str">
        <f t="shared" si="1204"/>
        <v>12Go Link</v>
      </c>
      <c r="E9679" s="3" t="s">
        <v>226</v>
      </c>
      <c r="K9679" s="5"/>
    </row>
    <row r="9680">
      <c r="A9680" s="3" t="s">
        <v>8806</v>
      </c>
      <c r="B9680" s="3" t="s">
        <v>8594</v>
      </c>
      <c r="C9680" s="3" t="s">
        <v>8807</v>
      </c>
      <c r="D9680" s="4" t="str">
        <f t="shared" si="1204"/>
        <v>12Go Link</v>
      </c>
      <c r="E9680" s="3" t="s">
        <v>3203</v>
      </c>
      <c r="K9680" s="5"/>
    </row>
    <row r="9681">
      <c r="A9681" s="3" t="s">
        <v>8723</v>
      </c>
      <c r="B9681" s="3" t="s">
        <v>8563</v>
      </c>
      <c r="C9681" s="3" t="s">
        <v>8808</v>
      </c>
      <c r="D9681" s="4" t="str">
        <f t="shared" ref="D9681:D9683" si="1205">HYPERLINK("https://12go.asia/en/travel/Gocek-Belediye-Marina/Dalaman-Airport", "12Go Link")</f>
        <v>12Go Link</v>
      </c>
      <c r="E9681" s="3" t="s">
        <v>3196</v>
      </c>
      <c r="K9681" s="5"/>
    </row>
    <row r="9682">
      <c r="A9682" s="3" t="s">
        <v>8723</v>
      </c>
      <c r="B9682" s="3" t="s">
        <v>8563</v>
      </c>
      <c r="C9682" s="3" t="s">
        <v>8808</v>
      </c>
      <c r="D9682" s="4" t="str">
        <f t="shared" si="1205"/>
        <v>12Go Link</v>
      </c>
      <c r="E9682" s="3" t="s">
        <v>226</v>
      </c>
      <c r="K9682" s="5"/>
    </row>
    <row r="9683">
      <c r="A9683" s="3" t="s">
        <v>8723</v>
      </c>
      <c r="B9683" s="3" t="s">
        <v>8563</v>
      </c>
      <c r="C9683" s="3" t="s">
        <v>8808</v>
      </c>
      <c r="D9683" s="4" t="str">
        <f t="shared" si="1205"/>
        <v>12Go Link</v>
      </c>
      <c r="E9683" s="3" t="s">
        <v>3203</v>
      </c>
      <c r="K9683" s="5"/>
    </row>
    <row r="9684">
      <c r="A9684" s="3" t="s">
        <v>8723</v>
      </c>
      <c r="B9684" s="3" t="s">
        <v>8563</v>
      </c>
      <c r="C9684" s="3" t="s">
        <v>8809</v>
      </c>
      <c r="D9684" s="4" t="str">
        <f t="shared" ref="D9684:D9686" si="1206">HYPERLINK("https://12go.asia/en/travel/Gocek-Club-Marina/Dalaman-Airport", "12Go Link")</f>
        <v>12Go Link</v>
      </c>
      <c r="E9684" s="3" t="s">
        <v>3196</v>
      </c>
      <c r="K9684" s="5"/>
    </row>
    <row r="9685">
      <c r="A9685" s="3" t="s">
        <v>8723</v>
      </c>
      <c r="B9685" s="3" t="s">
        <v>8563</v>
      </c>
      <c r="C9685" s="3" t="s">
        <v>8809</v>
      </c>
      <c r="D9685" s="4" t="str">
        <f t="shared" si="1206"/>
        <v>12Go Link</v>
      </c>
      <c r="E9685" s="3" t="s">
        <v>226</v>
      </c>
      <c r="K9685" s="5"/>
    </row>
    <row r="9686">
      <c r="A9686" s="3" t="s">
        <v>8723</v>
      </c>
      <c r="B9686" s="3" t="s">
        <v>8563</v>
      </c>
      <c r="C9686" s="3" t="s">
        <v>8809</v>
      </c>
      <c r="D9686" s="4" t="str">
        <f t="shared" si="1206"/>
        <v>12Go Link</v>
      </c>
      <c r="E9686" s="3" t="s">
        <v>3203</v>
      </c>
      <c r="K9686" s="5"/>
    </row>
    <row r="9687">
      <c r="A9687" s="3" t="s">
        <v>8723</v>
      </c>
      <c r="B9687" s="3" t="s">
        <v>8563</v>
      </c>
      <c r="C9687" s="3" t="s">
        <v>8810</v>
      </c>
      <c r="D9687" s="4" t="str">
        <f t="shared" ref="D9687:D9689" si="1207">HYPERLINK("https://12go.asia/en/travel/Gocek-Hotel-Transfer/Dalaman-Airport", "12Go Link")</f>
        <v>12Go Link</v>
      </c>
      <c r="E9687" s="3" t="s">
        <v>3196</v>
      </c>
      <c r="K9687" s="5"/>
    </row>
    <row r="9688">
      <c r="A9688" s="3" t="s">
        <v>8723</v>
      </c>
      <c r="B9688" s="3" t="s">
        <v>8563</v>
      </c>
      <c r="C9688" s="3" t="s">
        <v>8810</v>
      </c>
      <c r="D9688" s="4" t="str">
        <f t="shared" si="1207"/>
        <v>12Go Link</v>
      </c>
      <c r="E9688" s="3" t="s">
        <v>226</v>
      </c>
      <c r="K9688" s="5"/>
    </row>
    <row r="9689">
      <c r="A9689" s="3" t="s">
        <v>8723</v>
      </c>
      <c r="B9689" s="3" t="s">
        <v>8563</v>
      </c>
      <c r="C9689" s="3" t="s">
        <v>8810</v>
      </c>
      <c r="D9689" s="4" t="str">
        <f t="shared" si="1207"/>
        <v>12Go Link</v>
      </c>
      <c r="E9689" s="3" t="s">
        <v>3203</v>
      </c>
      <c r="K9689" s="5"/>
    </row>
    <row r="9690">
      <c r="A9690" s="3" t="s">
        <v>8723</v>
      </c>
      <c r="B9690" s="3" t="s">
        <v>8563</v>
      </c>
      <c r="C9690" s="3" t="s">
        <v>8811</v>
      </c>
      <c r="D9690" s="4" t="str">
        <f t="shared" ref="D9690:D9692" si="1208">HYPERLINK("https://12go.asia/en/travel/Gocek-Marinturk-Marina/Dalaman-Airport", "12Go Link")</f>
        <v>12Go Link</v>
      </c>
      <c r="E9690" s="3" t="s">
        <v>3196</v>
      </c>
      <c r="K9690" s="5"/>
    </row>
    <row r="9691">
      <c r="A9691" s="3" t="s">
        <v>8723</v>
      </c>
      <c r="B9691" s="3" t="s">
        <v>8563</v>
      </c>
      <c r="C9691" s="3" t="s">
        <v>8811</v>
      </c>
      <c r="D9691" s="4" t="str">
        <f t="shared" si="1208"/>
        <v>12Go Link</v>
      </c>
      <c r="E9691" s="3" t="s">
        <v>226</v>
      </c>
      <c r="K9691" s="5"/>
    </row>
    <row r="9692">
      <c r="A9692" s="3" t="s">
        <v>8723</v>
      </c>
      <c r="B9692" s="3" t="s">
        <v>8563</v>
      </c>
      <c r="C9692" s="3" t="s">
        <v>8811</v>
      </c>
      <c r="D9692" s="4" t="str">
        <f t="shared" si="1208"/>
        <v>12Go Link</v>
      </c>
      <c r="E9692" s="3" t="s">
        <v>3203</v>
      </c>
      <c r="K9692" s="5"/>
    </row>
    <row r="9693">
      <c r="A9693" s="3" t="s">
        <v>8723</v>
      </c>
      <c r="B9693" s="3" t="s">
        <v>8563</v>
      </c>
      <c r="C9693" s="3" t="s">
        <v>8812</v>
      </c>
      <c r="D9693" s="4" t="str">
        <f t="shared" ref="D9693:D9695" si="1209">HYPERLINK("https://12go.asia/en/travel/Gocek-Scopea-Marina/Dalaman-Airport", "12Go Link")</f>
        <v>12Go Link</v>
      </c>
      <c r="E9693" s="3" t="s">
        <v>3196</v>
      </c>
      <c r="K9693" s="5"/>
    </row>
    <row r="9694">
      <c r="A9694" s="3" t="s">
        <v>8723</v>
      </c>
      <c r="B9694" s="3" t="s">
        <v>8563</v>
      </c>
      <c r="C9694" s="3" t="s">
        <v>8812</v>
      </c>
      <c r="D9694" s="4" t="str">
        <f t="shared" si="1209"/>
        <v>12Go Link</v>
      </c>
      <c r="E9694" s="3" t="s">
        <v>226</v>
      </c>
      <c r="K9694" s="5"/>
    </row>
    <row r="9695">
      <c r="A9695" s="3" t="s">
        <v>8723</v>
      </c>
      <c r="B9695" s="3" t="s">
        <v>8563</v>
      </c>
      <c r="C9695" s="3" t="s">
        <v>8812</v>
      </c>
      <c r="D9695" s="4" t="str">
        <f t="shared" si="1209"/>
        <v>12Go Link</v>
      </c>
      <c r="E9695" s="3" t="s">
        <v>3203</v>
      </c>
      <c r="K9695" s="5"/>
    </row>
    <row r="9696">
      <c r="A9696" s="3" t="s">
        <v>8576</v>
      </c>
      <c r="B9696" s="3" t="s">
        <v>8601</v>
      </c>
      <c r="C9696" s="3" t="s">
        <v>8813</v>
      </c>
      <c r="D9696" s="4" t="str">
        <f>HYPERLINK("https://12go.asia/en/travel/Goreme-Hotel-Transfer/Antalya-Hotel-Transfer", "12Go Link")</f>
        <v>12Go Link</v>
      </c>
      <c r="E9696" s="3" t="s">
        <v>3481</v>
      </c>
      <c r="K9696" s="5"/>
    </row>
    <row r="9697">
      <c r="A9697" s="3" t="s">
        <v>8576</v>
      </c>
      <c r="B9697" s="3" t="s">
        <v>8579</v>
      </c>
      <c r="C9697" s="3" t="s">
        <v>8814</v>
      </c>
      <c r="D9697" s="4" t="str">
        <f t="shared" ref="D9697:D9698" si="1210">HYPERLINK("https://12go.asia/en/travel/Goreme-Hotel-Transfer/Kayseri-Airport", "12Go Link")</f>
        <v>12Go Link</v>
      </c>
      <c r="E9697" s="3" t="s">
        <v>3196</v>
      </c>
      <c r="K9697" s="5"/>
    </row>
    <row r="9698">
      <c r="A9698" s="3" t="s">
        <v>8576</v>
      </c>
      <c r="B9698" s="3" t="s">
        <v>8579</v>
      </c>
      <c r="C9698" s="3" t="s">
        <v>8814</v>
      </c>
      <c r="D9698" s="4" t="str">
        <f t="shared" si="1210"/>
        <v>12Go Link</v>
      </c>
      <c r="E9698" s="3" t="s">
        <v>3203</v>
      </c>
      <c r="K9698" s="5"/>
    </row>
    <row r="9699">
      <c r="A9699" s="3" t="s">
        <v>8576</v>
      </c>
      <c r="B9699" s="3" t="s">
        <v>8581</v>
      </c>
      <c r="C9699" s="3" t="s">
        <v>8815</v>
      </c>
      <c r="D9699" s="4" t="str">
        <f t="shared" ref="D9699:D9700" si="1211">HYPERLINK("https://12go.asia/en/travel/Goreme-Hotel-Transfer/Nevsehir-Kapadokya-Airport", "12Go Link")</f>
        <v>12Go Link</v>
      </c>
      <c r="E9699" s="3" t="s">
        <v>3196</v>
      </c>
      <c r="K9699" s="5"/>
    </row>
    <row r="9700">
      <c r="A9700" s="3" t="s">
        <v>8576</v>
      </c>
      <c r="B9700" s="3" t="s">
        <v>8581</v>
      </c>
      <c r="C9700" s="3" t="s">
        <v>8815</v>
      </c>
      <c r="D9700" s="4" t="str">
        <f t="shared" si="1211"/>
        <v>12Go Link</v>
      </c>
      <c r="E9700" s="3" t="s">
        <v>3203</v>
      </c>
      <c r="K9700" s="5"/>
    </row>
    <row r="9701">
      <c r="A9701" s="3" t="s">
        <v>8576</v>
      </c>
      <c r="B9701" s="3" t="s">
        <v>8816</v>
      </c>
      <c r="C9701" s="3" t="s">
        <v>8817</v>
      </c>
      <c r="D9701" s="4" t="str">
        <f>HYPERLINK("https://12go.asia/en/travel/Goreme-Hotel-Transfer/Pamukkale-Hotel-Transfer", "12Go Link")</f>
        <v>12Go Link</v>
      </c>
      <c r="E9701" s="3" t="s">
        <v>3481</v>
      </c>
      <c r="K9701" s="5"/>
    </row>
    <row r="9702">
      <c r="A9702" s="3" t="s">
        <v>8646</v>
      </c>
      <c r="B9702" s="3" t="s">
        <v>8601</v>
      </c>
      <c r="C9702" s="3" t="s">
        <v>8818</v>
      </c>
      <c r="D9702" s="4" t="str">
        <f t="shared" ref="D9702:D9704" si="1212">HYPERLINK("https://12go.asia/en/travel/Goynuk-Hotel-Transfer/Antalya-Airport", "12Go Link")</f>
        <v>12Go Link</v>
      </c>
      <c r="E9702" s="3" t="s">
        <v>3196</v>
      </c>
      <c r="K9702" s="5"/>
    </row>
    <row r="9703">
      <c r="A9703" s="3" t="s">
        <v>8646</v>
      </c>
      <c r="B9703" s="3" t="s">
        <v>8601</v>
      </c>
      <c r="C9703" s="3" t="s">
        <v>8818</v>
      </c>
      <c r="D9703" s="4" t="str">
        <f t="shared" si="1212"/>
        <v>12Go Link</v>
      </c>
      <c r="E9703" s="3" t="s">
        <v>226</v>
      </c>
      <c r="K9703" s="5"/>
    </row>
    <row r="9704">
      <c r="A9704" s="3" t="s">
        <v>8646</v>
      </c>
      <c r="B9704" s="3" t="s">
        <v>8601</v>
      </c>
      <c r="C9704" s="3" t="s">
        <v>8818</v>
      </c>
      <c r="D9704" s="4" t="str">
        <f t="shared" si="1212"/>
        <v>12Go Link</v>
      </c>
      <c r="E9704" s="3" t="s">
        <v>3203</v>
      </c>
      <c r="K9704" s="5"/>
    </row>
    <row r="9705">
      <c r="A9705" s="3" t="s">
        <v>8819</v>
      </c>
      <c r="B9705" s="3" t="s">
        <v>8579</v>
      </c>
      <c r="C9705" s="3" t="s">
        <v>8820</v>
      </c>
      <c r="D9705" s="4" t="str">
        <f t="shared" ref="D9705:D9706" si="1213">HYPERLINK("https://12go.asia/en/travel/Gulsehir-Hotel-Transfer/Kayseri-Airport", "12Go Link")</f>
        <v>12Go Link</v>
      </c>
      <c r="E9705" s="3" t="s">
        <v>3196</v>
      </c>
      <c r="K9705" s="5"/>
    </row>
    <row r="9706">
      <c r="A9706" s="3" t="s">
        <v>8819</v>
      </c>
      <c r="B9706" s="3" t="s">
        <v>8579</v>
      </c>
      <c r="C9706" s="3" t="s">
        <v>8820</v>
      </c>
      <c r="D9706" s="4" t="str">
        <f t="shared" si="1213"/>
        <v>12Go Link</v>
      </c>
      <c r="E9706" s="3" t="s">
        <v>3203</v>
      </c>
      <c r="K9706" s="5"/>
    </row>
    <row r="9707">
      <c r="A9707" s="3" t="s">
        <v>8821</v>
      </c>
      <c r="B9707" s="3" t="s">
        <v>8594</v>
      </c>
      <c r="C9707" s="3" t="s">
        <v>8822</v>
      </c>
      <c r="D9707" s="4" t="str">
        <f t="shared" ref="D9707:D9709" si="1214">HYPERLINK("https://12go.asia/en/travel/Guzelcamli-Hotel-Transfer/Adnan-Menderes-Airport", "12Go Link")</f>
        <v>12Go Link</v>
      </c>
      <c r="E9707" s="3" t="s">
        <v>3196</v>
      </c>
      <c r="K9707" s="5"/>
    </row>
    <row r="9708">
      <c r="A9708" s="3" t="s">
        <v>8821</v>
      </c>
      <c r="B9708" s="3" t="s">
        <v>8594</v>
      </c>
      <c r="C9708" s="3" t="s">
        <v>8822</v>
      </c>
      <c r="D9708" s="4" t="str">
        <f t="shared" si="1214"/>
        <v>12Go Link</v>
      </c>
      <c r="E9708" s="3" t="s">
        <v>226</v>
      </c>
      <c r="K9708" s="5"/>
    </row>
    <row r="9709">
      <c r="A9709" s="3" t="s">
        <v>8821</v>
      </c>
      <c r="B9709" s="3" t="s">
        <v>8594</v>
      </c>
      <c r="C9709" s="3" t="s">
        <v>8822</v>
      </c>
      <c r="D9709" s="4" t="str">
        <f t="shared" si="1214"/>
        <v>12Go Link</v>
      </c>
      <c r="E9709" s="3" t="s">
        <v>3203</v>
      </c>
      <c r="K9709" s="5"/>
    </row>
    <row r="9710">
      <c r="A9710" s="3" t="s">
        <v>8729</v>
      </c>
      <c r="B9710" s="3" t="s">
        <v>8563</v>
      </c>
      <c r="C9710" s="3" t="s">
        <v>8823</v>
      </c>
      <c r="D9710" s="4" t="str">
        <f t="shared" ref="D9710:D9712" si="1215">HYPERLINK("https://12go.asia/en/travel/Marmaris-Hisaronu-Hotel-Transfer/Dalaman-Airport", "12Go Link")</f>
        <v>12Go Link</v>
      </c>
      <c r="E9710" s="3" t="s">
        <v>3196</v>
      </c>
      <c r="K9710" s="5"/>
    </row>
    <row r="9711">
      <c r="A9711" s="3" t="s">
        <v>8729</v>
      </c>
      <c r="B9711" s="3" t="s">
        <v>8563</v>
      </c>
      <c r="C9711" s="3" t="s">
        <v>8823</v>
      </c>
      <c r="D9711" s="4" t="str">
        <f t="shared" si="1215"/>
        <v>12Go Link</v>
      </c>
      <c r="E9711" s="3" t="s">
        <v>226</v>
      </c>
      <c r="K9711" s="5"/>
    </row>
    <row r="9712">
      <c r="A9712" s="3" t="s">
        <v>8729</v>
      </c>
      <c r="B9712" s="3" t="s">
        <v>8563</v>
      </c>
      <c r="C9712" s="3" t="s">
        <v>8823</v>
      </c>
      <c r="D9712" s="4" t="str">
        <f t="shared" si="1215"/>
        <v>12Go Link</v>
      </c>
      <c r="E9712" s="3" t="s">
        <v>3203</v>
      </c>
      <c r="K9712" s="5"/>
    </row>
    <row r="9713">
      <c r="A9713" s="3" t="s">
        <v>8824</v>
      </c>
      <c r="B9713" s="3" t="s">
        <v>8579</v>
      </c>
      <c r="C9713" s="3" t="s">
        <v>8825</v>
      </c>
      <c r="D9713" s="4" t="str">
        <f t="shared" ref="D9713:D9714" si="1216">HYPERLINK("https://12go.asia/en/travel/Ibrahimpasa-Hotel-Transfer/Kayseri-Airport", "12Go Link")</f>
        <v>12Go Link</v>
      </c>
      <c r="E9713" s="3" t="s">
        <v>3196</v>
      </c>
      <c r="K9713" s="5"/>
    </row>
    <row r="9714">
      <c r="A9714" s="3" t="s">
        <v>8824</v>
      </c>
      <c r="B9714" s="3" t="s">
        <v>8579</v>
      </c>
      <c r="C9714" s="3" t="s">
        <v>8825</v>
      </c>
      <c r="D9714" s="4" t="str">
        <f t="shared" si="1216"/>
        <v>12Go Link</v>
      </c>
      <c r="E9714" s="3" t="s">
        <v>3203</v>
      </c>
      <c r="K9714" s="5"/>
    </row>
    <row r="9715">
      <c r="A9715" s="3" t="s">
        <v>8824</v>
      </c>
      <c r="B9715" s="3" t="s">
        <v>8581</v>
      </c>
      <c r="C9715" s="3" t="s">
        <v>8826</v>
      </c>
      <c r="D9715" s="4" t="str">
        <f t="shared" ref="D9715:D9716" si="1217">HYPERLINK("https://12go.asia/en/travel/Ibrahimpasa-Hotel-Transfer/Nevsehir-Kapadokya-Airport", "12Go Link")</f>
        <v>12Go Link</v>
      </c>
      <c r="E9715" s="3" t="s">
        <v>3196</v>
      </c>
      <c r="K9715" s="5"/>
    </row>
    <row r="9716">
      <c r="A9716" s="3" t="s">
        <v>8824</v>
      </c>
      <c r="B9716" s="3" t="s">
        <v>8581</v>
      </c>
      <c r="C9716" s="3" t="s">
        <v>8826</v>
      </c>
      <c r="D9716" s="4" t="str">
        <f t="shared" si="1217"/>
        <v>12Go Link</v>
      </c>
      <c r="E9716" s="3" t="s">
        <v>3203</v>
      </c>
      <c r="K9716" s="5"/>
    </row>
    <row r="9717">
      <c r="A9717" s="3" t="s">
        <v>8731</v>
      </c>
      <c r="B9717" s="3" t="s">
        <v>8563</v>
      </c>
      <c r="C9717" s="3" t="s">
        <v>8827</v>
      </c>
      <c r="D9717" s="4" t="str">
        <f t="shared" ref="D9717:D9719" si="1218">HYPERLINK("https://12go.asia/en/travel/Icmeler-Hotel-Transfer/Dalaman-Airport", "12Go Link")</f>
        <v>12Go Link</v>
      </c>
      <c r="E9717" s="3" t="s">
        <v>3196</v>
      </c>
      <c r="K9717" s="5"/>
    </row>
    <row r="9718">
      <c r="A9718" s="3" t="s">
        <v>8731</v>
      </c>
      <c r="B9718" s="3" t="s">
        <v>8563</v>
      </c>
      <c r="C9718" s="3" t="s">
        <v>8827</v>
      </c>
      <c r="D9718" s="4" t="str">
        <f t="shared" si="1218"/>
        <v>12Go Link</v>
      </c>
      <c r="E9718" s="3" t="s">
        <v>226</v>
      </c>
      <c r="K9718" s="5"/>
    </row>
    <row r="9719">
      <c r="A9719" s="3" t="s">
        <v>8731</v>
      </c>
      <c r="B9719" s="3" t="s">
        <v>8563</v>
      </c>
      <c r="C9719" s="3" t="s">
        <v>8827</v>
      </c>
      <c r="D9719" s="4" t="str">
        <f t="shared" si="1218"/>
        <v>12Go Link</v>
      </c>
      <c r="E9719" s="3" t="s">
        <v>3203</v>
      </c>
      <c r="K9719" s="5"/>
    </row>
    <row r="9720">
      <c r="A9720" s="3" t="s">
        <v>8731</v>
      </c>
      <c r="B9720" s="3" t="s">
        <v>8594</v>
      </c>
      <c r="C9720" s="3" t="s">
        <v>8828</v>
      </c>
      <c r="D9720" s="4" t="str">
        <f t="shared" ref="D9720:D9722" si="1219">HYPERLINK("https://12go.asia/en/travel/Icmeler-Hotel-Transfer/Adnan-Menderes-Airport", "12Go Link")</f>
        <v>12Go Link</v>
      </c>
      <c r="E9720" s="3" t="s">
        <v>3196</v>
      </c>
      <c r="K9720" s="5"/>
    </row>
    <row r="9721">
      <c r="A9721" s="3" t="s">
        <v>8731</v>
      </c>
      <c r="B9721" s="3" t="s">
        <v>8594</v>
      </c>
      <c r="C9721" s="3" t="s">
        <v>8828</v>
      </c>
      <c r="D9721" s="4" t="str">
        <f t="shared" si="1219"/>
        <v>12Go Link</v>
      </c>
      <c r="E9721" s="3" t="s">
        <v>226</v>
      </c>
      <c r="K9721" s="5"/>
    </row>
    <row r="9722">
      <c r="A9722" s="3" t="s">
        <v>8731</v>
      </c>
      <c r="B9722" s="3" t="s">
        <v>8594</v>
      </c>
      <c r="C9722" s="3" t="s">
        <v>8828</v>
      </c>
      <c r="D9722" s="4" t="str">
        <f t="shared" si="1219"/>
        <v>12Go Link</v>
      </c>
      <c r="E9722" s="3" t="s">
        <v>3203</v>
      </c>
      <c r="K9722" s="5"/>
    </row>
    <row r="9723">
      <c r="A9723" s="3" t="s">
        <v>8829</v>
      </c>
      <c r="B9723" s="3" t="s">
        <v>8566</v>
      </c>
      <c r="C9723" s="3" t="s">
        <v>8830</v>
      </c>
      <c r="D9723" s="4" t="str">
        <f t="shared" ref="D9723:D9724" si="1220">HYPERLINK("https://12go.asia/en/travel/Istanbul-Hotel-Transfer/Avanos-Hotel-Transfer", "12Go Link")</f>
        <v>12Go Link</v>
      </c>
      <c r="E9723" s="3" t="s">
        <v>8568</v>
      </c>
      <c r="K9723" s="5"/>
    </row>
    <row r="9724">
      <c r="A9724" s="3" t="s">
        <v>8829</v>
      </c>
      <c r="B9724" s="3" t="s">
        <v>8566</v>
      </c>
      <c r="C9724" s="3" t="s">
        <v>8830</v>
      </c>
      <c r="D9724" s="4" t="str">
        <f t="shared" si="1220"/>
        <v>12Go Link</v>
      </c>
      <c r="E9724" s="3" t="s">
        <v>228</v>
      </c>
      <c r="K9724" s="5"/>
    </row>
    <row r="9725">
      <c r="A9725" s="3" t="s">
        <v>8829</v>
      </c>
      <c r="B9725" s="3" t="s">
        <v>8570</v>
      </c>
      <c r="C9725" s="3" t="s">
        <v>8831</v>
      </c>
      <c r="D9725" s="4" t="str">
        <f t="shared" ref="D9725:D9726" si="1221">HYPERLINK("https://12go.asia/en/travel/Istanbul-Hotel-Transfer/Cappadocia-Hotel-Transfer", "12Go Link")</f>
        <v>12Go Link</v>
      </c>
      <c r="E9725" s="3" t="s">
        <v>8568</v>
      </c>
      <c r="K9725" s="5"/>
    </row>
    <row r="9726">
      <c r="A9726" s="3" t="s">
        <v>8829</v>
      </c>
      <c r="B9726" s="3" t="s">
        <v>8570</v>
      </c>
      <c r="C9726" s="3" t="s">
        <v>8831</v>
      </c>
      <c r="D9726" s="4" t="str">
        <f t="shared" si="1221"/>
        <v>12Go Link</v>
      </c>
      <c r="E9726" s="3" t="s">
        <v>228</v>
      </c>
      <c r="K9726" s="5"/>
    </row>
    <row r="9727">
      <c r="A9727" s="3" t="s">
        <v>8829</v>
      </c>
      <c r="B9727" s="3" t="s">
        <v>8573</v>
      </c>
      <c r="C9727" s="3" t="s">
        <v>8832</v>
      </c>
      <c r="D9727" s="4" t="str">
        <f t="shared" ref="D9727:D9728" si="1222">HYPERLINK("https://12go.asia/en/travel/Istanbul-Hotel-Transfer/Cavusin-Hotel-Transfer", "12Go Link")</f>
        <v>12Go Link</v>
      </c>
      <c r="E9727" s="3" t="s">
        <v>8568</v>
      </c>
      <c r="K9727" s="5"/>
    </row>
    <row r="9728">
      <c r="A9728" s="3" t="s">
        <v>8829</v>
      </c>
      <c r="B9728" s="3" t="s">
        <v>8573</v>
      </c>
      <c r="C9728" s="3" t="s">
        <v>8832</v>
      </c>
      <c r="D9728" s="4" t="str">
        <f t="shared" si="1222"/>
        <v>12Go Link</v>
      </c>
      <c r="E9728" s="3" t="s">
        <v>228</v>
      </c>
      <c r="K9728" s="5"/>
    </row>
    <row r="9729">
      <c r="A9729" s="3" t="s">
        <v>8829</v>
      </c>
      <c r="B9729" s="3" t="s">
        <v>8576</v>
      </c>
      <c r="C9729" s="3" t="s">
        <v>8833</v>
      </c>
      <c r="D9729" s="4" t="str">
        <f t="shared" ref="D9729:D9730" si="1223">HYPERLINK("https://12go.asia/en/travel/Istanbul-Hotel-Transfer/Goreme-Hotel-Transfer", "12Go Link")</f>
        <v>12Go Link</v>
      </c>
      <c r="E9729" s="3" t="s">
        <v>8568</v>
      </c>
      <c r="K9729" s="5"/>
    </row>
    <row r="9730">
      <c r="A9730" s="3" t="s">
        <v>8829</v>
      </c>
      <c r="B9730" s="3" t="s">
        <v>8576</v>
      </c>
      <c r="C9730" s="3" t="s">
        <v>8833</v>
      </c>
      <c r="D9730" s="4" t="str">
        <f t="shared" si="1223"/>
        <v>12Go Link</v>
      </c>
      <c r="E9730" s="3" t="s">
        <v>228</v>
      </c>
      <c r="K9730" s="5"/>
    </row>
    <row r="9731">
      <c r="A9731" s="3" t="s">
        <v>8829</v>
      </c>
      <c r="B9731" s="3" t="s">
        <v>8829</v>
      </c>
      <c r="C9731" s="3" t="s">
        <v>8834</v>
      </c>
      <c r="D9731" s="4" t="str">
        <f t="shared" ref="D9731:D9734" si="1224">HYPERLINK("https://12go.asia/en/travel/Atasehir-Hotel-Transfer/Sabiha-Gokcen-Airport", "12Go Link")</f>
        <v>12Go Link</v>
      </c>
      <c r="E9731" s="3" t="s">
        <v>3481</v>
      </c>
      <c r="K9731" s="5"/>
    </row>
    <row r="9732">
      <c r="A9732" s="3" t="s">
        <v>8829</v>
      </c>
      <c r="B9732" s="3" t="s">
        <v>8829</v>
      </c>
      <c r="C9732" s="3" t="s">
        <v>8834</v>
      </c>
      <c r="D9732" s="4" t="str">
        <f t="shared" si="1224"/>
        <v>12Go Link</v>
      </c>
      <c r="E9732" s="3" t="s">
        <v>3196</v>
      </c>
      <c r="K9732" s="5"/>
    </row>
    <row r="9733">
      <c r="A9733" s="3" t="s">
        <v>8829</v>
      </c>
      <c r="B9733" s="3" t="s">
        <v>8829</v>
      </c>
      <c r="C9733" s="3" t="s">
        <v>8834</v>
      </c>
      <c r="D9733" s="4" t="str">
        <f t="shared" si="1224"/>
        <v>12Go Link</v>
      </c>
      <c r="E9733" s="3" t="s">
        <v>7409</v>
      </c>
      <c r="K9733" s="5"/>
    </row>
    <row r="9734">
      <c r="A9734" s="3" t="s">
        <v>8829</v>
      </c>
      <c r="B9734" s="3" t="s">
        <v>8829</v>
      </c>
      <c r="C9734" s="3" t="s">
        <v>8834</v>
      </c>
      <c r="D9734" s="4" t="str">
        <f t="shared" si="1224"/>
        <v>12Go Link</v>
      </c>
      <c r="E9734" s="3" t="s">
        <v>8835</v>
      </c>
      <c r="K9734" s="5"/>
    </row>
    <row r="9735">
      <c r="A9735" s="3" t="s">
        <v>8829</v>
      </c>
      <c r="B9735" s="3" t="s">
        <v>8829</v>
      </c>
      <c r="C9735" s="3" t="s">
        <v>8836</v>
      </c>
      <c r="D9735" s="4" t="str">
        <f t="shared" ref="D9735:D9738" si="1225">HYPERLINK("https://12go.asia/en/travel/Bahcelievler-Hotel-Transfer/Istanbul-New-Airport", "12Go Link")</f>
        <v>12Go Link</v>
      </c>
      <c r="E9735" s="3" t="s">
        <v>3481</v>
      </c>
      <c r="K9735" s="5"/>
    </row>
    <row r="9736">
      <c r="A9736" s="3" t="s">
        <v>8829</v>
      </c>
      <c r="B9736" s="3" t="s">
        <v>8829</v>
      </c>
      <c r="C9736" s="3" t="s">
        <v>8836</v>
      </c>
      <c r="D9736" s="4" t="str">
        <f t="shared" si="1225"/>
        <v>12Go Link</v>
      </c>
      <c r="E9736" s="3" t="s">
        <v>3196</v>
      </c>
      <c r="K9736" s="5"/>
    </row>
    <row r="9737">
      <c r="A9737" s="3" t="s">
        <v>8829</v>
      </c>
      <c r="B9737" s="3" t="s">
        <v>8829</v>
      </c>
      <c r="C9737" s="3" t="s">
        <v>8836</v>
      </c>
      <c r="D9737" s="4" t="str">
        <f t="shared" si="1225"/>
        <v>12Go Link</v>
      </c>
      <c r="E9737" s="3" t="s">
        <v>7409</v>
      </c>
      <c r="K9737" s="5"/>
    </row>
    <row r="9738">
      <c r="A9738" s="3" t="s">
        <v>8829</v>
      </c>
      <c r="B9738" s="3" t="s">
        <v>8829</v>
      </c>
      <c r="C9738" s="3" t="s">
        <v>8836</v>
      </c>
      <c r="D9738" s="4" t="str">
        <f t="shared" si="1225"/>
        <v>12Go Link</v>
      </c>
      <c r="E9738" s="3" t="s">
        <v>8835</v>
      </c>
      <c r="K9738" s="5"/>
    </row>
    <row r="9739">
      <c r="A9739" s="3" t="s">
        <v>8829</v>
      </c>
      <c r="B9739" s="3" t="s">
        <v>8829</v>
      </c>
      <c r="C9739" s="3" t="s">
        <v>8837</v>
      </c>
      <c r="D9739" s="4" t="str">
        <f t="shared" ref="D9739:D9742" si="1226">HYPERLINK("https://12go.asia/en/travel/Bahcelievler-Hotel-Transfer/Sabiha-Gokcen-Airport", "12Go Link")</f>
        <v>12Go Link</v>
      </c>
      <c r="E9739" s="3" t="s">
        <v>3481</v>
      </c>
      <c r="K9739" s="5"/>
    </row>
    <row r="9740">
      <c r="A9740" s="3" t="s">
        <v>8829</v>
      </c>
      <c r="B9740" s="3" t="s">
        <v>8829</v>
      </c>
      <c r="C9740" s="3" t="s">
        <v>8837</v>
      </c>
      <c r="D9740" s="4" t="str">
        <f t="shared" si="1226"/>
        <v>12Go Link</v>
      </c>
      <c r="E9740" s="3" t="s">
        <v>3196</v>
      </c>
      <c r="K9740" s="5"/>
    </row>
    <row r="9741">
      <c r="A9741" s="3" t="s">
        <v>8829</v>
      </c>
      <c r="B9741" s="3" t="s">
        <v>8829</v>
      </c>
      <c r="C9741" s="3" t="s">
        <v>8837</v>
      </c>
      <c r="D9741" s="4" t="str">
        <f t="shared" si="1226"/>
        <v>12Go Link</v>
      </c>
      <c r="E9741" s="3" t="s">
        <v>7409</v>
      </c>
      <c r="K9741" s="5"/>
    </row>
    <row r="9742">
      <c r="A9742" s="3" t="s">
        <v>8829</v>
      </c>
      <c r="B9742" s="3" t="s">
        <v>8829</v>
      </c>
      <c r="C9742" s="3" t="s">
        <v>8837</v>
      </c>
      <c r="D9742" s="4" t="str">
        <f t="shared" si="1226"/>
        <v>12Go Link</v>
      </c>
      <c r="E9742" s="3" t="s">
        <v>8835</v>
      </c>
      <c r="K9742" s="5"/>
    </row>
    <row r="9743">
      <c r="A9743" s="3" t="s">
        <v>8829</v>
      </c>
      <c r="B9743" s="3" t="s">
        <v>8829</v>
      </c>
      <c r="C9743" s="3" t="s">
        <v>8838</v>
      </c>
      <c r="D9743" s="4" t="str">
        <f t="shared" ref="D9743:D9746" si="1227">HYPERLINK("https://12go.asia/en/travel/Bakirkoy-Hotel-Transfer/Istanbul-New-Airport", "12Go Link")</f>
        <v>12Go Link</v>
      </c>
      <c r="E9743" s="3" t="s">
        <v>3481</v>
      </c>
      <c r="K9743" s="5"/>
    </row>
    <row r="9744">
      <c r="A9744" s="3" t="s">
        <v>8829</v>
      </c>
      <c r="B9744" s="3" t="s">
        <v>8829</v>
      </c>
      <c r="C9744" s="3" t="s">
        <v>8838</v>
      </c>
      <c r="D9744" s="4" t="str">
        <f t="shared" si="1227"/>
        <v>12Go Link</v>
      </c>
      <c r="E9744" s="3" t="s">
        <v>3196</v>
      </c>
      <c r="K9744" s="5"/>
    </row>
    <row r="9745">
      <c r="A9745" s="3" t="s">
        <v>8829</v>
      </c>
      <c r="B9745" s="3" t="s">
        <v>8829</v>
      </c>
      <c r="C9745" s="3" t="s">
        <v>8838</v>
      </c>
      <c r="D9745" s="4" t="str">
        <f t="shared" si="1227"/>
        <v>12Go Link</v>
      </c>
      <c r="E9745" s="3" t="s">
        <v>7409</v>
      </c>
      <c r="K9745" s="5"/>
    </row>
    <row r="9746">
      <c r="A9746" s="3" t="s">
        <v>8829</v>
      </c>
      <c r="B9746" s="3" t="s">
        <v>8829</v>
      </c>
      <c r="C9746" s="3" t="s">
        <v>8838</v>
      </c>
      <c r="D9746" s="4" t="str">
        <f t="shared" si="1227"/>
        <v>12Go Link</v>
      </c>
      <c r="E9746" s="3" t="s">
        <v>8835</v>
      </c>
      <c r="K9746" s="5"/>
    </row>
    <row r="9747">
      <c r="A9747" s="3" t="s">
        <v>8829</v>
      </c>
      <c r="B9747" s="3" t="s">
        <v>8829</v>
      </c>
      <c r="C9747" s="3" t="s">
        <v>8839</v>
      </c>
      <c r="D9747" s="4" t="str">
        <f t="shared" ref="D9747:D9750" si="1228">HYPERLINK("https://12go.asia/en/travel/Bakirkoy-Hotel-Transfer/Sabiha-Gokcen-Airport", "12Go Link")</f>
        <v>12Go Link</v>
      </c>
      <c r="E9747" s="3" t="s">
        <v>3481</v>
      </c>
      <c r="K9747" s="5"/>
    </row>
    <row r="9748">
      <c r="A9748" s="3" t="s">
        <v>8829</v>
      </c>
      <c r="B9748" s="3" t="s">
        <v>8829</v>
      </c>
      <c r="C9748" s="3" t="s">
        <v>8839</v>
      </c>
      <c r="D9748" s="4" t="str">
        <f t="shared" si="1228"/>
        <v>12Go Link</v>
      </c>
      <c r="E9748" s="3" t="s">
        <v>3196</v>
      </c>
      <c r="K9748" s="5"/>
    </row>
    <row r="9749">
      <c r="A9749" s="3" t="s">
        <v>8829</v>
      </c>
      <c r="B9749" s="3" t="s">
        <v>8829</v>
      </c>
      <c r="C9749" s="3" t="s">
        <v>8839</v>
      </c>
      <c r="D9749" s="4" t="str">
        <f t="shared" si="1228"/>
        <v>12Go Link</v>
      </c>
      <c r="E9749" s="3" t="s">
        <v>7409</v>
      </c>
      <c r="K9749" s="5"/>
    </row>
    <row r="9750">
      <c r="A9750" s="3" t="s">
        <v>8829</v>
      </c>
      <c r="B9750" s="3" t="s">
        <v>8829</v>
      </c>
      <c r="C9750" s="3" t="s">
        <v>8839</v>
      </c>
      <c r="D9750" s="4" t="str">
        <f t="shared" si="1228"/>
        <v>12Go Link</v>
      </c>
      <c r="E9750" s="3" t="s">
        <v>8835</v>
      </c>
      <c r="K9750" s="5"/>
    </row>
    <row r="9751">
      <c r="A9751" s="3" t="s">
        <v>8829</v>
      </c>
      <c r="B9751" s="3" t="s">
        <v>8829</v>
      </c>
      <c r="C9751" s="3" t="s">
        <v>8840</v>
      </c>
      <c r="D9751" s="4" t="str">
        <f t="shared" ref="D9751:D9755" si="1229">HYPERLINK("https://12go.asia/en/travel/Bayrampasa-Hotel-Transfer/Istanbul-New-Airport", "12Go Link")</f>
        <v>12Go Link</v>
      </c>
      <c r="E9751" s="3" t="s">
        <v>3481</v>
      </c>
      <c r="K9751" s="5"/>
    </row>
    <row r="9752">
      <c r="A9752" s="3" t="s">
        <v>8829</v>
      </c>
      <c r="B9752" s="3" t="s">
        <v>8829</v>
      </c>
      <c r="C9752" s="3" t="s">
        <v>8840</v>
      </c>
      <c r="D9752" s="4" t="str">
        <f t="shared" si="1229"/>
        <v>12Go Link</v>
      </c>
      <c r="E9752" s="3" t="s">
        <v>3196</v>
      </c>
      <c r="K9752" s="5"/>
    </row>
    <row r="9753">
      <c r="A9753" s="3" t="s">
        <v>8829</v>
      </c>
      <c r="B9753" s="3" t="s">
        <v>8829</v>
      </c>
      <c r="C9753" s="3" t="s">
        <v>8840</v>
      </c>
      <c r="D9753" s="4" t="str">
        <f t="shared" si="1229"/>
        <v>12Go Link</v>
      </c>
      <c r="E9753" s="3" t="s">
        <v>7409</v>
      </c>
      <c r="K9753" s="5"/>
    </row>
    <row r="9754">
      <c r="A9754" s="3" t="s">
        <v>8829</v>
      </c>
      <c r="B9754" s="3" t="s">
        <v>8829</v>
      </c>
      <c r="C9754" s="3" t="s">
        <v>8840</v>
      </c>
      <c r="D9754" s="4" t="str">
        <f t="shared" si="1229"/>
        <v>12Go Link</v>
      </c>
      <c r="E9754" s="3" t="s">
        <v>8835</v>
      </c>
      <c r="K9754" s="5"/>
    </row>
    <row r="9755">
      <c r="A9755" s="3" t="s">
        <v>8829</v>
      </c>
      <c r="B9755" s="3" t="s">
        <v>8829</v>
      </c>
      <c r="C9755" s="3" t="s">
        <v>8840</v>
      </c>
      <c r="D9755" s="4" t="str">
        <f t="shared" si="1229"/>
        <v>12Go Link</v>
      </c>
      <c r="E9755" s="3" t="s">
        <v>6602</v>
      </c>
      <c r="K9755" s="5"/>
    </row>
    <row r="9756">
      <c r="A9756" s="3" t="s">
        <v>8829</v>
      </c>
      <c r="B9756" s="3" t="s">
        <v>8829</v>
      </c>
      <c r="C9756" s="3" t="s">
        <v>8841</v>
      </c>
      <c r="D9756" s="4" t="str">
        <f t="shared" ref="D9756:D9759" si="1230">HYPERLINK("https://12go.asia/en/travel/Bayrampasa-Hotel-Transfer/Sabiha-Gokcen-Airport", "12Go Link")</f>
        <v>12Go Link</v>
      </c>
      <c r="E9756" s="3" t="s">
        <v>3481</v>
      </c>
      <c r="K9756" s="5"/>
    </row>
    <row r="9757">
      <c r="A9757" s="3" t="s">
        <v>8829</v>
      </c>
      <c r="B9757" s="3" t="s">
        <v>8829</v>
      </c>
      <c r="C9757" s="3" t="s">
        <v>8841</v>
      </c>
      <c r="D9757" s="4" t="str">
        <f t="shared" si="1230"/>
        <v>12Go Link</v>
      </c>
      <c r="E9757" s="3" t="s">
        <v>3196</v>
      </c>
      <c r="K9757" s="5"/>
    </row>
    <row r="9758">
      <c r="A9758" s="3" t="s">
        <v>8829</v>
      </c>
      <c r="B9758" s="3" t="s">
        <v>8829</v>
      </c>
      <c r="C9758" s="3" t="s">
        <v>8841</v>
      </c>
      <c r="D9758" s="4" t="str">
        <f t="shared" si="1230"/>
        <v>12Go Link</v>
      </c>
      <c r="E9758" s="3" t="s">
        <v>8835</v>
      </c>
      <c r="K9758" s="5"/>
    </row>
    <row r="9759">
      <c r="A9759" s="3" t="s">
        <v>8829</v>
      </c>
      <c r="B9759" s="3" t="s">
        <v>8829</v>
      </c>
      <c r="C9759" s="3" t="s">
        <v>8841</v>
      </c>
      <c r="D9759" s="4" t="str">
        <f t="shared" si="1230"/>
        <v>12Go Link</v>
      </c>
      <c r="E9759" s="3" t="s">
        <v>6602</v>
      </c>
      <c r="K9759" s="5"/>
    </row>
    <row r="9760">
      <c r="A9760" s="3" t="s">
        <v>8829</v>
      </c>
      <c r="B9760" s="3" t="s">
        <v>8829</v>
      </c>
      <c r="C9760" s="3" t="s">
        <v>8842</v>
      </c>
      <c r="D9760" s="4" t="str">
        <f t="shared" ref="D9760:D9764" si="1231">HYPERLINK("https://12go.asia/en/travel/Besiktas-Hotel-Transfer/Istanbul-New-Airport", "12Go Link")</f>
        <v>12Go Link</v>
      </c>
      <c r="E9760" s="3" t="s">
        <v>3481</v>
      </c>
      <c r="K9760" s="5"/>
    </row>
    <row r="9761">
      <c r="A9761" s="3" t="s">
        <v>8829</v>
      </c>
      <c r="B9761" s="3" t="s">
        <v>8829</v>
      </c>
      <c r="C9761" s="3" t="s">
        <v>8842</v>
      </c>
      <c r="D9761" s="4" t="str">
        <f t="shared" si="1231"/>
        <v>12Go Link</v>
      </c>
      <c r="E9761" s="3" t="s">
        <v>3196</v>
      </c>
      <c r="K9761" s="5"/>
    </row>
    <row r="9762">
      <c r="A9762" s="3" t="s">
        <v>8829</v>
      </c>
      <c r="B9762" s="3" t="s">
        <v>8829</v>
      </c>
      <c r="C9762" s="3" t="s">
        <v>8842</v>
      </c>
      <c r="D9762" s="4" t="str">
        <f t="shared" si="1231"/>
        <v>12Go Link</v>
      </c>
      <c r="E9762" s="3" t="s">
        <v>7409</v>
      </c>
      <c r="K9762" s="5"/>
    </row>
    <row r="9763">
      <c r="A9763" s="3" t="s">
        <v>8829</v>
      </c>
      <c r="B9763" s="3" t="s">
        <v>8829</v>
      </c>
      <c r="C9763" s="3" t="s">
        <v>8842</v>
      </c>
      <c r="D9763" s="4" t="str">
        <f t="shared" si="1231"/>
        <v>12Go Link</v>
      </c>
      <c r="E9763" s="3" t="s">
        <v>8835</v>
      </c>
      <c r="K9763" s="5"/>
    </row>
    <row r="9764">
      <c r="A9764" s="3" t="s">
        <v>8829</v>
      </c>
      <c r="B9764" s="3" t="s">
        <v>8829</v>
      </c>
      <c r="C9764" s="3" t="s">
        <v>8842</v>
      </c>
      <c r="D9764" s="4" t="str">
        <f t="shared" si="1231"/>
        <v>12Go Link</v>
      </c>
      <c r="E9764" s="3" t="s">
        <v>6602</v>
      </c>
      <c r="K9764" s="5"/>
    </row>
    <row r="9765">
      <c r="A9765" s="3" t="s">
        <v>8829</v>
      </c>
      <c r="B9765" s="3" t="s">
        <v>8829</v>
      </c>
      <c r="C9765" s="3" t="s">
        <v>8843</v>
      </c>
      <c r="D9765" s="4" t="str">
        <f>HYPERLINK("https://12go.asia/en/travel/Besiktas-Hotel-Transfer/Istanbul-Port", "12Go Link")</f>
        <v>12Go Link</v>
      </c>
      <c r="E9765" s="3" t="s">
        <v>6602</v>
      </c>
      <c r="K9765" s="5"/>
    </row>
    <row r="9766">
      <c r="A9766" s="3" t="s">
        <v>8829</v>
      </c>
      <c r="B9766" s="3" t="s">
        <v>8829</v>
      </c>
      <c r="C9766" s="3" t="s">
        <v>8844</v>
      </c>
      <c r="D9766" s="4" t="str">
        <f>HYPERLINK("https://12go.asia/en/travel/Besiktas-Hotel-Transfer/Sabiha-Gokcen-Airport", "12Go Link")</f>
        <v>12Go Link</v>
      </c>
      <c r="E9766" s="3" t="s">
        <v>6602</v>
      </c>
      <c r="K9766" s="5"/>
    </row>
    <row r="9767">
      <c r="A9767" s="3" t="s">
        <v>8829</v>
      </c>
      <c r="B9767" s="3" t="s">
        <v>8829</v>
      </c>
      <c r="C9767" s="3" t="s">
        <v>8845</v>
      </c>
      <c r="D9767" s="4" t="str">
        <f>HYPERLINK("https://12go.asia/en/travel/Beyazit-Hotel-Transfer/Istanbul-New-Airport", "12Go Link")</f>
        <v>12Go Link</v>
      </c>
      <c r="E9767" s="3" t="s">
        <v>6602</v>
      </c>
      <c r="K9767" s="5"/>
    </row>
    <row r="9768">
      <c r="A9768" s="3" t="s">
        <v>8829</v>
      </c>
      <c r="B9768" s="3" t="s">
        <v>8829</v>
      </c>
      <c r="C9768" s="3" t="s">
        <v>8846</v>
      </c>
      <c r="D9768" s="4" t="str">
        <f>HYPERLINK("https://12go.asia/en/travel/Beyazit-Hotel-Transfer/Istanbul-Port", "12Go Link")</f>
        <v>12Go Link</v>
      </c>
      <c r="E9768" s="3" t="s">
        <v>6602</v>
      </c>
      <c r="K9768" s="5"/>
    </row>
    <row r="9769">
      <c r="A9769" s="3" t="s">
        <v>8829</v>
      </c>
      <c r="B9769" s="3" t="s">
        <v>8829</v>
      </c>
      <c r="C9769" s="3" t="s">
        <v>8847</v>
      </c>
      <c r="D9769" s="4" t="str">
        <f>HYPERLINK("https://12go.asia/en/travel/Beyazit-Hotel-Transfer/Sabiha-Gokcen-Airport", "12Go Link")</f>
        <v>12Go Link</v>
      </c>
      <c r="E9769" s="3" t="s">
        <v>6602</v>
      </c>
      <c r="K9769" s="5"/>
    </row>
    <row r="9770">
      <c r="A9770" s="3" t="s">
        <v>8829</v>
      </c>
      <c r="B9770" s="3" t="s">
        <v>8829</v>
      </c>
      <c r="C9770" s="3" t="s">
        <v>8848</v>
      </c>
      <c r="D9770" s="4" t="str">
        <f t="shared" ref="D9770:D9774" si="1232">HYPERLINK("https://12go.asia/en/travel/Beyoglu-Hotel-Transfer/Istanbul-New-Airport", "12Go Link")</f>
        <v>12Go Link</v>
      </c>
      <c r="E9770" s="3" t="s">
        <v>3481</v>
      </c>
      <c r="K9770" s="5"/>
    </row>
    <row r="9771">
      <c r="A9771" s="3" t="s">
        <v>8829</v>
      </c>
      <c r="B9771" s="3" t="s">
        <v>8829</v>
      </c>
      <c r="C9771" s="3" t="s">
        <v>8848</v>
      </c>
      <c r="D9771" s="4" t="str">
        <f t="shared" si="1232"/>
        <v>12Go Link</v>
      </c>
      <c r="E9771" s="3" t="s">
        <v>3196</v>
      </c>
      <c r="K9771" s="5"/>
    </row>
    <row r="9772">
      <c r="A9772" s="3" t="s">
        <v>8829</v>
      </c>
      <c r="B9772" s="3" t="s">
        <v>8829</v>
      </c>
      <c r="C9772" s="3" t="s">
        <v>8848</v>
      </c>
      <c r="D9772" s="4" t="str">
        <f t="shared" si="1232"/>
        <v>12Go Link</v>
      </c>
      <c r="E9772" s="3" t="s">
        <v>7409</v>
      </c>
      <c r="K9772" s="5"/>
    </row>
    <row r="9773">
      <c r="A9773" s="3" t="s">
        <v>8829</v>
      </c>
      <c r="B9773" s="3" t="s">
        <v>8829</v>
      </c>
      <c r="C9773" s="3" t="s">
        <v>8848</v>
      </c>
      <c r="D9773" s="4" t="str">
        <f t="shared" si="1232"/>
        <v>12Go Link</v>
      </c>
      <c r="E9773" s="3" t="s">
        <v>8835</v>
      </c>
      <c r="K9773" s="5"/>
    </row>
    <row r="9774">
      <c r="A9774" s="3" t="s">
        <v>8829</v>
      </c>
      <c r="B9774" s="3" t="s">
        <v>8829</v>
      </c>
      <c r="C9774" s="3" t="s">
        <v>8848</v>
      </c>
      <c r="D9774" s="4" t="str">
        <f t="shared" si="1232"/>
        <v>12Go Link</v>
      </c>
      <c r="E9774" s="3" t="s">
        <v>6602</v>
      </c>
      <c r="K9774" s="5"/>
    </row>
    <row r="9775">
      <c r="A9775" s="3" t="s">
        <v>8829</v>
      </c>
      <c r="B9775" s="3" t="s">
        <v>8829</v>
      </c>
      <c r="C9775" s="3" t="s">
        <v>8849</v>
      </c>
      <c r="D9775" s="4" t="str">
        <f>HYPERLINK("https://12go.asia/en/travel/Beyoglu-Hotel-Transfer/Istanbul-Port", "12Go Link")</f>
        <v>12Go Link</v>
      </c>
      <c r="E9775" s="3" t="s">
        <v>6602</v>
      </c>
      <c r="K9775" s="5"/>
    </row>
    <row r="9776">
      <c r="A9776" s="3" t="s">
        <v>8829</v>
      </c>
      <c r="B9776" s="3" t="s">
        <v>8829</v>
      </c>
      <c r="C9776" s="3" t="s">
        <v>8850</v>
      </c>
      <c r="D9776" s="4" t="str">
        <f>HYPERLINK("https://12go.asia/en/travel/Beyoglu-Hotel-Transfer/Sabiha-Gokcen-Airport", "12Go Link")</f>
        <v>12Go Link</v>
      </c>
      <c r="E9776" s="3" t="s">
        <v>6602</v>
      </c>
      <c r="K9776" s="5"/>
    </row>
    <row r="9777">
      <c r="A9777" s="3" t="s">
        <v>8829</v>
      </c>
      <c r="B9777" s="3" t="s">
        <v>8829</v>
      </c>
      <c r="C9777" s="3" t="s">
        <v>8851</v>
      </c>
      <c r="D9777" s="4" t="str">
        <f t="shared" ref="D9777:D9781" si="1233">HYPERLINK("https://12go.asia/en/travel/Fatih-Hotel-Transfer/Istanbul-New-Airport", "12Go Link")</f>
        <v>12Go Link</v>
      </c>
      <c r="E9777" s="3" t="s">
        <v>3481</v>
      </c>
      <c r="K9777" s="5"/>
    </row>
    <row r="9778">
      <c r="A9778" s="3" t="s">
        <v>8829</v>
      </c>
      <c r="B9778" s="3" t="s">
        <v>8829</v>
      </c>
      <c r="C9778" s="3" t="s">
        <v>8851</v>
      </c>
      <c r="D9778" s="4" t="str">
        <f t="shared" si="1233"/>
        <v>12Go Link</v>
      </c>
      <c r="E9778" s="3" t="s">
        <v>3196</v>
      </c>
      <c r="K9778" s="5"/>
    </row>
    <row r="9779">
      <c r="A9779" s="3" t="s">
        <v>8829</v>
      </c>
      <c r="B9779" s="3" t="s">
        <v>8829</v>
      </c>
      <c r="C9779" s="3" t="s">
        <v>8851</v>
      </c>
      <c r="D9779" s="4" t="str">
        <f t="shared" si="1233"/>
        <v>12Go Link</v>
      </c>
      <c r="E9779" s="3" t="s">
        <v>7409</v>
      </c>
      <c r="K9779" s="5"/>
    </row>
    <row r="9780">
      <c r="A9780" s="3" t="s">
        <v>8829</v>
      </c>
      <c r="B9780" s="3" t="s">
        <v>8829</v>
      </c>
      <c r="C9780" s="3" t="s">
        <v>8851</v>
      </c>
      <c r="D9780" s="4" t="str">
        <f t="shared" si="1233"/>
        <v>12Go Link</v>
      </c>
      <c r="E9780" s="3" t="s">
        <v>8835</v>
      </c>
      <c r="K9780" s="5"/>
    </row>
    <row r="9781">
      <c r="A9781" s="3" t="s">
        <v>8829</v>
      </c>
      <c r="B9781" s="3" t="s">
        <v>8829</v>
      </c>
      <c r="C9781" s="3" t="s">
        <v>8851</v>
      </c>
      <c r="D9781" s="4" t="str">
        <f t="shared" si="1233"/>
        <v>12Go Link</v>
      </c>
      <c r="E9781" s="3" t="s">
        <v>6602</v>
      </c>
      <c r="K9781" s="5"/>
    </row>
    <row r="9782">
      <c r="A9782" s="3" t="s">
        <v>8829</v>
      </c>
      <c r="B9782" s="3" t="s">
        <v>8829</v>
      </c>
      <c r="C9782" s="3" t="s">
        <v>8852</v>
      </c>
      <c r="D9782" s="4" t="str">
        <f>HYPERLINK("https://12go.asia/en/travel/Fatih-Hotel-Transfer/Istanbul-Port", "12Go Link")</f>
        <v>12Go Link</v>
      </c>
      <c r="E9782" s="3" t="s">
        <v>6602</v>
      </c>
      <c r="K9782" s="5"/>
    </row>
    <row r="9783">
      <c r="A9783" s="3" t="s">
        <v>8829</v>
      </c>
      <c r="B9783" s="3" t="s">
        <v>8829</v>
      </c>
      <c r="C9783" s="3" t="s">
        <v>8853</v>
      </c>
      <c r="D9783" s="4" t="str">
        <f t="shared" ref="D9783:D9787" si="1234">HYPERLINK("https://12go.asia/en/travel/Fatih-Hotel-Transfer/Sabiha-Gokcen-Airport", "12Go Link")</f>
        <v>12Go Link</v>
      </c>
      <c r="E9783" s="3" t="s">
        <v>3481</v>
      </c>
      <c r="K9783" s="5"/>
    </row>
    <row r="9784">
      <c r="A9784" s="3" t="s">
        <v>8829</v>
      </c>
      <c r="B9784" s="3" t="s">
        <v>8829</v>
      </c>
      <c r="C9784" s="3" t="s">
        <v>8853</v>
      </c>
      <c r="D9784" s="4" t="str">
        <f t="shared" si="1234"/>
        <v>12Go Link</v>
      </c>
      <c r="E9784" s="3" t="s">
        <v>3196</v>
      </c>
      <c r="K9784" s="5"/>
    </row>
    <row r="9785">
      <c r="A9785" s="3" t="s">
        <v>8829</v>
      </c>
      <c r="B9785" s="3" t="s">
        <v>8829</v>
      </c>
      <c r="C9785" s="3" t="s">
        <v>8853</v>
      </c>
      <c r="D9785" s="4" t="str">
        <f t="shared" si="1234"/>
        <v>12Go Link</v>
      </c>
      <c r="E9785" s="3" t="s">
        <v>7409</v>
      </c>
      <c r="K9785" s="5"/>
    </row>
    <row r="9786">
      <c r="A9786" s="3" t="s">
        <v>8829</v>
      </c>
      <c r="B9786" s="3" t="s">
        <v>8829</v>
      </c>
      <c r="C9786" s="3" t="s">
        <v>8853</v>
      </c>
      <c r="D9786" s="4" t="str">
        <f t="shared" si="1234"/>
        <v>12Go Link</v>
      </c>
      <c r="E9786" s="3" t="s">
        <v>8835</v>
      </c>
      <c r="K9786" s="5"/>
    </row>
    <row r="9787">
      <c r="A9787" s="3" t="s">
        <v>8829</v>
      </c>
      <c r="B9787" s="3" t="s">
        <v>8829</v>
      </c>
      <c r="C9787" s="3" t="s">
        <v>8853</v>
      </c>
      <c r="D9787" s="4" t="str">
        <f t="shared" si="1234"/>
        <v>12Go Link</v>
      </c>
      <c r="E9787" s="3" t="s">
        <v>6602</v>
      </c>
      <c r="K9787" s="5"/>
    </row>
    <row r="9788">
      <c r="A9788" s="3" t="s">
        <v>8829</v>
      </c>
      <c r="B9788" s="3" t="s">
        <v>8829</v>
      </c>
      <c r="C9788" s="3" t="s">
        <v>8854</v>
      </c>
      <c r="D9788" s="4" t="str">
        <f t="shared" ref="D9788:D9791" si="1235">HYPERLINK("https://12go.asia/en/travel/Istanbul-New-Airport/Bahcelievler-Hotel-Transfer", "12Go Link")</f>
        <v>12Go Link</v>
      </c>
      <c r="E9788" s="3" t="s">
        <v>3481</v>
      </c>
      <c r="K9788" s="5"/>
    </row>
    <row r="9789">
      <c r="A9789" s="3" t="s">
        <v>8829</v>
      </c>
      <c r="B9789" s="3" t="s">
        <v>8829</v>
      </c>
      <c r="C9789" s="3" t="s">
        <v>8854</v>
      </c>
      <c r="D9789" s="4" t="str">
        <f t="shared" si="1235"/>
        <v>12Go Link</v>
      </c>
      <c r="E9789" s="3" t="s">
        <v>3196</v>
      </c>
      <c r="K9789" s="5"/>
    </row>
    <row r="9790">
      <c r="A9790" s="3" t="s">
        <v>8829</v>
      </c>
      <c r="B9790" s="3" t="s">
        <v>8829</v>
      </c>
      <c r="C9790" s="3" t="s">
        <v>8854</v>
      </c>
      <c r="D9790" s="4" t="str">
        <f t="shared" si="1235"/>
        <v>12Go Link</v>
      </c>
      <c r="E9790" s="3" t="s">
        <v>7409</v>
      </c>
      <c r="K9790" s="5"/>
    </row>
    <row r="9791">
      <c r="A9791" s="3" t="s">
        <v>8829</v>
      </c>
      <c r="B9791" s="3" t="s">
        <v>8829</v>
      </c>
      <c r="C9791" s="3" t="s">
        <v>8854</v>
      </c>
      <c r="D9791" s="4" t="str">
        <f t="shared" si="1235"/>
        <v>12Go Link</v>
      </c>
      <c r="E9791" s="3" t="s">
        <v>8835</v>
      </c>
      <c r="K9791" s="5"/>
    </row>
    <row r="9792">
      <c r="A9792" s="3" t="s">
        <v>8829</v>
      </c>
      <c r="B9792" s="3" t="s">
        <v>8829</v>
      </c>
      <c r="C9792" s="3" t="s">
        <v>8855</v>
      </c>
      <c r="D9792" s="4" t="str">
        <f t="shared" ref="D9792:D9795" si="1236">HYPERLINK("https://12go.asia/en/travel/Istanbul-New-Airport/Bakirkoy-Hotel-Transfer", "12Go Link")</f>
        <v>12Go Link</v>
      </c>
      <c r="E9792" s="3" t="s">
        <v>3481</v>
      </c>
      <c r="K9792" s="5"/>
    </row>
    <row r="9793">
      <c r="A9793" s="3" t="s">
        <v>8829</v>
      </c>
      <c r="B9793" s="3" t="s">
        <v>8829</v>
      </c>
      <c r="C9793" s="3" t="s">
        <v>8855</v>
      </c>
      <c r="D9793" s="4" t="str">
        <f t="shared" si="1236"/>
        <v>12Go Link</v>
      </c>
      <c r="E9793" s="3" t="s">
        <v>3196</v>
      </c>
      <c r="K9793" s="5"/>
    </row>
    <row r="9794">
      <c r="A9794" s="3" t="s">
        <v>8829</v>
      </c>
      <c r="B9794" s="3" t="s">
        <v>8829</v>
      </c>
      <c r="C9794" s="3" t="s">
        <v>8855</v>
      </c>
      <c r="D9794" s="4" t="str">
        <f t="shared" si="1236"/>
        <v>12Go Link</v>
      </c>
      <c r="E9794" s="3" t="s">
        <v>7409</v>
      </c>
      <c r="K9794" s="5"/>
    </row>
    <row r="9795">
      <c r="A9795" s="3" t="s">
        <v>8829</v>
      </c>
      <c r="B9795" s="3" t="s">
        <v>8829</v>
      </c>
      <c r="C9795" s="3" t="s">
        <v>8855</v>
      </c>
      <c r="D9795" s="4" t="str">
        <f t="shared" si="1236"/>
        <v>12Go Link</v>
      </c>
      <c r="E9795" s="3" t="s">
        <v>8835</v>
      </c>
      <c r="K9795" s="5"/>
    </row>
    <row r="9796">
      <c r="A9796" s="3" t="s">
        <v>8829</v>
      </c>
      <c r="B9796" s="3" t="s">
        <v>8829</v>
      </c>
      <c r="C9796" s="3" t="s">
        <v>8856</v>
      </c>
      <c r="D9796" s="4" t="str">
        <f t="shared" ref="D9796:D9800" si="1237">HYPERLINK("https://12go.asia/en/travel/Istanbul-New-Airport/Bayrampasa-Hotel-Transfer", "12Go Link")</f>
        <v>12Go Link</v>
      </c>
      <c r="E9796" s="3" t="s">
        <v>3481</v>
      </c>
      <c r="K9796" s="5"/>
    </row>
    <row r="9797">
      <c r="A9797" s="3" t="s">
        <v>8829</v>
      </c>
      <c r="B9797" s="3" t="s">
        <v>8829</v>
      </c>
      <c r="C9797" s="3" t="s">
        <v>8856</v>
      </c>
      <c r="D9797" s="4" t="str">
        <f t="shared" si="1237"/>
        <v>12Go Link</v>
      </c>
      <c r="E9797" s="3" t="s">
        <v>3196</v>
      </c>
      <c r="K9797" s="5"/>
    </row>
    <row r="9798">
      <c r="A9798" s="3" t="s">
        <v>8829</v>
      </c>
      <c r="B9798" s="3" t="s">
        <v>8829</v>
      </c>
      <c r="C9798" s="3" t="s">
        <v>8856</v>
      </c>
      <c r="D9798" s="4" t="str">
        <f t="shared" si="1237"/>
        <v>12Go Link</v>
      </c>
      <c r="E9798" s="3" t="s">
        <v>7409</v>
      </c>
      <c r="K9798" s="5"/>
    </row>
    <row r="9799">
      <c r="A9799" s="3" t="s">
        <v>8829</v>
      </c>
      <c r="B9799" s="3" t="s">
        <v>8829</v>
      </c>
      <c r="C9799" s="3" t="s">
        <v>8856</v>
      </c>
      <c r="D9799" s="4" t="str">
        <f t="shared" si="1237"/>
        <v>12Go Link</v>
      </c>
      <c r="E9799" s="3" t="s">
        <v>8835</v>
      </c>
      <c r="K9799" s="5"/>
    </row>
    <row r="9800">
      <c r="A9800" s="3" t="s">
        <v>8829</v>
      </c>
      <c r="B9800" s="3" t="s">
        <v>8829</v>
      </c>
      <c r="C9800" s="3" t="s">
        <v>8856</v>
      </c>
      <c r="D9800" s="4" t="str">
        <f t="shared" si="1237"/>
        <v>12Go Link</v>
      </c>
      <c r="E9800" s="3" t="s">
        <v>6602</v>
      </c>
      <c r="K9800" s="5"/>
    </row>
    <row r="9801">
      <c r="A9801" s="3" t="s">
        <v>8829</v>
      </c>
      <c r="B9801" s="3" t="s">
        <v>8829</v>
      </c>
      <c r="C9801" s="3" t="s">
        <v>8857</v>
      </c>
      <c r="D9801" s="4" t="str">
        <f t="shared" ref="D9801:D9805" si="1238">HYPERLINK("https://12go.asia/en/travel/Istanbul-New-Airport/Besiktas-Hotel-Transfer", "12Go Link")</f>
        <v>12Go Link</v>
      </c>
      <c r="E9801" s="3" t="s">
        <v>3481</v>
      </c>
      <c r="K9801" s="5"/>
    </row>
    <row r="9802">
      <c r="A9802" s="3" t="s">
        <v>8829</v>
      </c>
      <c r="B9802" s="3" t="s">
        <v>8829</v>
      </c>
      <c r="C9802" s="3" t="s">
        <v>8857</v>
      </c>
      <c r="D9802" s="4" t="str">
        <f t="shared" si="1238"/>
        <v>12Go Link</v>
      </c>
      <c r="E9802" s="3" t="s">
        <v>3196</v>
      </c>
      <c r="K9802" s="5"/>
    </row>
    <row r="9803">
      <c r="A9803" s="3" t="s">
        <v>8829</v>
      </c>
      <c r="B9803" s="3" t="s">
        <v>8829</v>
      </c>
      <c r="C9803" s="3" t="s">
        <v>8857</v>
      </c>
      <c r="D9803" s="4" t="str">
        <f t="shared" si="1238"/>
        <v>12Go Link</v>
      </c>
      <c r="E9803" s="3" t="s">
        <v>7409</v>
      </c>
      <c r="K9803" s="5"/>
    </row>
    <row r="9804">
      <c r="A9804" s="3" t="s">
        <v>8829</v>
      </c>
      <c r="B9804" s="3" t="s">
        <v>8829</v>
      </c>
      <c r="C9804" s="3" t="s">
        <v>8857</v>
      </c>
      <c r="D9804" s="4" t="str">
        <f t="shared" si="1238"/>
        <v>12Go Link</v>
      </c>
      <c r="E9804" s="3" t="s">
        <v>8835</v>
      </c>
      <c r="K9804" s="5"/>
    </row>
    <row r="9805">
      <c r="A9805" s="3" t="s">
        <v>8829</v>
      </c>
      <c r="B9805" s="3" t="s">
        <v>8829</v>
      </c>
      <c r="C9805" s="3" t="s">
        <v>8857</v>
      </c>
      <c r="D9805" s="4" t="str">
        <f t="shared" si="1238"/>
        <v>12Go Link</v>
      </c>
      <c r="E9805" s="3" t="s">
        <v>6602</v>
      </c>
      <c r="K9805" s="5"/>
    </row>
    <row r="9806">
      <c r="A9806" s="3" t="s">
        <v>8829</v>
      </c>
      <c r="B9806" s="3" t="s">
        <v>8829</v>
      </c>
      <c r="C9806" s="3" t="s">
        <v>8858</v>
      </c>
      <c r="D9806" s="4" t="str">
        <f>HYPERLINK("https://12go.asia/en/travel/Istanbul-New-Airport/Beyazit-Hotel-Transfer", "12Go Link")</f>
        <v>12Go Link</v>
      </c>
      <c r="E9806" s="3" t="s">
        <v>6602</v>
      </c>
      <c r="K9806" s="5"/>
    </row>
    <row r="9807">
      <c r="A9807" s="3" t="s">
        <v>8829</v>
      </c>
      <c r="B9807" s="3" t="s">
        <v>8829</v>
      </c>
      <c r="C9807" s="3" t="s">
        <v>8859</v>
      </c>
      <c r="D9807" s="4" t="str">
        <f t="shared" ref="D9807:D9811" si="1239">HYPERLINK("https://12go.asia/en/travel/Istanbul-New-Airport/Beyoglu-Hotel-Transfer", "12Go Link")</f>
        <v>12Go Link</v>
      </c>
      <c r="E9807" s="3" t="s">
        <v>3481</v>
      </c>
      <c r="K9807" s="5"/>
    </row>
    <row r="9808">
      <c r="A9808" s="3" t="s">
        <v>8829</v>
      </c>
      <c r="B9808" s="3" t="s">
        <v>8829</v>
      </c>
      <c r="C9808" s="3" t="s">
        <v>8859</v>
      </c>
      <c r="D9808" s="4" t="str">
        <f t="shared" si="1239"/>
        <v>12Go Link</v>
      </c>
      <c r="E9808" s="3" t="s">
        <v>3196</v>
      </c>
      <c r="K9808" s="5"/>
    </row>
    <row r="9809">
      <c r="A9809" s="3" t="s">
        <v>8829</v>
      </c>
      <c r="B9809" s="3" t="s">
        <v>8829</v>
      </c>
      <c r="C9809" s="3" t="s">
        <v>8859</v>
      </c>
      <c r="D9809" s="4" t="str">
        <f t="shared" si="1239"/>
        <v>12Go Link</v>
      </c>
      <c r="E9809" s="3" t="s">
        <v>7409</v>
      </c>
      <c r="K9809" s="5"/>
    </row>
    <row r="9810">
      <c r="A9810" s="3" t="s">
        <v>8829</v>
      </c>
      <c r="B9810" s="3" t="s">
        <v>8829</v>
      </c>
      <c r="C9810" s="3" t="s">
        <v>8859</v>
      </c>
      <c r="D9810" s="4" t="str">
        <f t="shared" si="1239"/>
        <v>12Go Link</v>
      </c>
      <c r="E9810" s="3" t="s">
        <v>8835</v>
      </c>
      <c r="K9810" s="5"/>
    </row>
    <row r="9811">
      <c r="A9811" s="3" t="s">
        <v>8829</v>
      </c>
      <c r="B9811" s="3" t="s">
        <v>8829</v>
      </c>
      <c r="C9811" s="3" t="s">
        <v>8859</v>
      </c>
      <c r="D9811" s="4" t="str">
        <f t="shared" si="1239"/>
        <v>12Go Link</v>
      </c>
      <c r="E9811" s="3" t="s">
        <v>6602</v>
      </c>
      <c r="K9811" s="5"/>
    </row>
    <row r="9812">
      <c r="A9812" s="3" t="s">
        <v>8829</v>
      </c>
      <c r="B9812" s="3" t="s">
        <v>8829</v>
      </c>
      <c r="C9812" s="3" t="s">
        <v>8860</v>
      </c>
      <c r="D9812" s="4" t="str">
        <f t="shared" ref="D9812:D9816" si="1240">HYPERLINK("https://12go.asia/en/travel/Istanbul-New-Airport/Fatih-Hotel-Transfer", "12Go Link")</f>
        <v>12Go Link</v>
      </c>
      <c r="E9812" s="3" t="s">
        <v>3481</v>
      </c>
      <c r="K9812" s="5"/>
    </row>
    <row r="9813">
      <c r="A9813" s="3" t="s">
        <v>8829</v>
      </c>
      <c r="B9813" s="3" t="s">
        <v>8829</v>
      </c>
      <c r="C9813" s="3" t="s">
        <v>8860</v>
      </c>
      <c r="D9813" s="4" t="str">
        <f t="shared" si="1240"/>
        <v>12Go Link</v>
      </c>
      <c r="E9813" s="3" t="s">
        <v>3196</v>
      </c>
      <c r="K9813" s="5"/>
    </row>
    <row r="9814">
      <c r="A9814" s="3" t="s">
        <v>8829</v>
      </c>
      <c r="B9814" s="3" t="s">
        <v>8829</v>
      </c>
      <c r="C9814" s="3" t="s">
        <v>8860</v>
      </c>
      <c r="D9814" s="4" t="str">
        <f t="shared" si="1240"/>
        <v>12Go Link</v>
      </c>
      <c r="E9814" s="3" t="s">
        <v>7409</v>
      </c>
      <c r="K9814" s="5"/>
    </row>
    <row r="9815">
      <c r="A9815" s="3" t="s">
        <v>8829</v>
      </c>
      <c r="B9815" s="3" t="s">
        <v>8829</v>
      </c>
      <c r="C9815" s="3" t="s">
        <v>8860</v>
      </c>
      <c r="D9815" s="4" t="str">
        <f t="shared" si="1240"/>
        <v>12Go Link</v>
      </c>
      <c r="E9815" s="3" t="s">
        <v>8835</v>
      </c>
      <c r="K9815" s="5"/>
    </row>
    <row r="9816">
      <c r="A9816" s="3" t="s">
        <v>8829</v>
      </c>
      <c r="B9816" s="3" t="s">
        <v>8829</v>
      </c>
      <c r="C9816" s="3" t="s">
        <v>8860</v>
      </c>
      <c r="D9816" s="4" t="str">
        <f t="shared" si="1240"/>
        <v>12Go Link</v>
      </c>
      <c r="E9816" s="3" t="s">
        <v>6602</v>
      </c>
      <c r="K9816" s="5"/>
    </row>
    <row r="9817">
      <c r="A9817" s="3" t="s">
        <v>8829</v>
      </c>
      <c r="B9817" s="3" t="s">
        <v>8829</v>
      </c>
      <c r="C9817" s="3" t="s">
        <v>8861</v>
      </c>
      <c r="D9817" s="4" t="str">
        <f t="shared" ref="D9817:D9821" si="1241">HYPERLINK("https://12go.asia/en/travel/Istanbul-New-Airport/Istanbul-Port", "12Go Link")</f>
        <v>12Go Link</v>
      </c>
      <c r="E9817" s="3" t="s">
        <v>3481</v>
      </c>
      <c r="K9817" s="5"/>
    </row>
    <row r="9818">
      <c r="A9818" s="3" t="s">
        <v>8829</v>
      </c>
      <c r="B9818" s="3" t="s">
        <v>8829</v>
      </c>
      <c r="C9818" s="3" t="s">
        <v>8861</v>
      </c>
      <c r="D9818" s="4" t="str">
        <f t="shared" si="1241"/>
        <v>12Go Link</v>
      </c>
      <c r="E9818" s="3" t="s">
        <v>3196</v>
      </c>
      <c r="K9818" s="5"/>
    </row>
    <row r="9819">
      <c r="A9819" s="3" t="s">
        <v>8829</v>
      </c>
      <c r="B9819" s="3" t="s">
        <v>8829</v>
      </c>
      <c r="C9819" s="3" t="s">
        <v>8861</v>
      </c>
      <c r="D9819" s="4" t="str">
        <f t="shared" si="1241"/>
        <v>12Go Link</v>
      </c>
      <c r="E9819" s="3" t="s">
        <v>7409</v>
      </c>
      <c r="K9819" s="5"/>
    </row>
    <row r="9820">
      <c r="A9820" s="3" t="s">
        <v>8829</v>
      </c>
      <c r="B9820" s="3" t="s">
        <v>8829</v>
      </c>
      <c r="C9820" s="3" t="s">
        <v>8861</v>
      </c>
      <c r="D9820" s="4" t="str">
        <f t="shared" si="1241"/>
        <v>12Go Link</v>
      </c>
      <c r="E9820" s="3" t="s">
        <v>8835</v>
      </c>
      <c r="K9820" s="5"/>
    </row>
    <row r="9821">
      <c r="A9821" s="3" t="s">
        <v>8829</v>
      </c>
      <c r="B9821" s="3" t="s">
        <v>8829</v>
      </c>
      <c r="C9821" s="3" t="s">
        <v>8861</v>
      </c>
      <c r="D9821" s="4" t="str">
        <f t="shared" si="1241"/>
        <v>12Go Link</v>
      </c>
      <c r="E9821" s="3" t="s">
        <v>6602</v>
      </c>
      <c r="K9821" s="5"/>
    </row>
    <row r="9822">
      <c r="A9822" s="3" t="s">
        <v>8829</v>
      </c>
      <c r="B9822" s="3" t="s">
        <v>8829</v>
      </c>
      <c r="C9822" s="3" t="s">
        <v>8862</v>
      </c>
      <c r="D9822" s="4" t="str">
        <f t="shared" ref="D9822:D9825" si="1242">HYPERLINK("https://12go.asia/en/travel/Istanbul-New-Airport/Kadikoy-Hotel-Transfer", "12Go Link")</f>
        <v>12Go Link</v>
      </c>
      <c r="E9822" s="3" t="s">
        <v>3481</v>
      </c>
      <c r="K9822" s="5"/>
    </row>
    <row r="9823">
      <c r="A9823" s="3" t="s">
        <v>8829</v>
      </c>
      <c r="B9823" s="3" t="s">
        <v>8829</v>
      </c>
      <c r="C9823" s="3" t="s">
        <v>8862</v>
      </c>
      <c r="D9823" s="4" t="str">
        <f t="shared" si="1242"/>
        <v>12Go Link</v>
      </c>
      <c r="E9823" s="3" t="s">
        <v>3196</v>
      </c>
      <c r="K9823" s="5"/>
    </row>
    <row r="9824">
      <c r="A9824" s="3" t="s">
        <v>8829</v>
      </c>
      <c r="B9824" s="3" t="s">
        <v>8829</v>
      </c>
      <c r="C9824" s="3" t="s">
        <v>8862</v>
      </c>
      <c r="D9824" s="4" t="str">
        <f t="shared" si="1242"/>
        <v>12Go Link</v>
      </c>
      <c r="E9824" s="3" t="s">
        <v>7409</v>
      </c>
      <c r="K9824" s="5"/>
    </row>
    <row r="9825">
      <c r="A9825" s="3" t="s">
        <v>8829</v>
      </c>
      <c r="B9825" s="3" t="s">
        <v>8829</v>
      </c>
      <c r="C9825" s="3" t="s">
        <v>8862</v>
      </c>
      <c r="D9825" s="4" t="str">
        <f t="shared" si="1242"/>
        <v>12Go Link</v>
      </c>
      <c r="E9825" s="3" t="s">
        <v>8835</v>
      </c>
      <c r="K9825" s="5"/>
    </row>
    <row r="9826">
      <c r="A9826" s="3" t="s">
        <v>8829</v>
      </c>
      <c r="B9826" s="3" t="s">
        <v>8829</v>
      </c>
      <c r="C9826" s="3" t="s">
        <v>8863</v>
      </c>
      <c r="D9826" s="4" t="str">
        <f t="shared" ref="D9826:D9830" si="1243">HYPERLINK("https://12go.asia/en/travel/Istanbul-New-Airport/Karakoy-Hotel-Transfer", "12Go Link")</f>
        <v>12Go Link</v>
      </c>
      <c r="E9826" s="3" t="s">
        <v>3481</v>
      </c>
      <c r="K9826" s="5"/>
    </row>
    <row r="9827">
      <c r="A9827" s="3" t="s">
        <v>8829</v>
      </c>
      <c r="B9827" s="3" t="s">
        <v>8829</v>
      </c>
      <c r="C9827" s="3" t="s">
        <v>8863</v>
      </c>
      <c r="D9827" s="4" t="str">
        <f t="shared" si="1243"/>
        <v>12Go Link</v>
      </c>
      <c r="E9827" s="3" t="s">
        <v>3196</v>
      </c>
      <c r="K9827" s="5"/>
    </row>
    <row r="9828">
      <c r="A9828" s="3" t="s">
        <v>8829</v>
      </c>
      <c r="B9828" s="3" t="s">
        <v>8829</v>
      </c>
      <c r="C9828" s="3" t="s">
        <v>8863</v>
      </c>
      <c r="D9828" s="4" t="str">
        <f t="shared" si="1243"/>
        <v>12Go Link</v>
      </c>
      <c r="E9828" s="3" t="s">
        <v>7409</v>
      </c>
      <c r="K9828" s="5"/>
    </row>
    <row r="9829">
      <c r="A9829" s="3" t="s">
        <v>8829</v>
      </c>
      <c r="B9829" s="3" t="s">
        <v>8829</v>
      </c>
      <c r="C9829" s="3" t="s">
        <v>8863</v>
      </c>
      <c r="D9829" s="4" t="str">
        <f t="shared" si="1243"/>
        <v>12Go Link</v>
      </c>
      <c r="E9829" s="3" t="s">
        <v>8835</v>
      </c>
      <c r="K9829" s="5"/>
    </row>
    <row r="9830">
      <c r="A9830" s="3" t="s">
        <v>8829</v>
      </c>
      <c r="B9830" s="3" t="s">
        <v>8829</v>
      </c>
      <c r="C9830" s="3" t="s">
        <v>8863</v>
      </c>
      <c r="D9830" s="4" t="str">
        <f t="shared" si="1243"/>
        <v>12Go Link</v>
      </c>
      <c r="E9830" s="3" t="s">
        <v>6602</v>
      </c>
      <c r="K9830" s="5"/>
    </row>
    <row r="9831">
      <c r="A9831" s="3" t="s">
        <v>8829</v>
      </c>
      <c r="B9831" s="3" t="s">
        <v>8829</v>
      </c>
      <c r="C9831" s="3" t="s">
        <v>8864</v>
      </c>
      <c r="D9831" s="4" t="str">
        <f t="shared" ref="D9831:D9834" si="1244">HYPERLINK("https://12go.asia/en/travel/Istanbul-New-Airport/Sabiha-Gokcen-Airport", "12Go Link")</f>
        <v>12Go Link</v>
      </c>
      <c r="E9831" s="3" t="s">
        <v>3481</v>
      </c>
      <c r="K9831" s="5"/>
    </row>
    <row r="9832">
      <c r="A9832" s="3" t="s">
        <v>8829</v>
      </c>
      <c r="B9832" s="3" t="s">
        <v>8829</v>
      </c>
      <c r="C9832" s="3" t="s">
        <v>8864</v>
      </c>
      <c r="D9832" s="4" t="str">
        <f t="shared" si="1244"/>
        <v>12Go Link</v>
      </c>
      <c r="E9832" s="3" t="s">
        <v>3196</v>
      </c>
      <c r="K9832" s="5"/>
    </row>
    <row r="9833">
      <c r="A9833" s="3" t="s">
        <v>8829</v>
      </c>
      <c r="B9833" s="3" t="s">
        <v>8829</v>
      </c>
      <c r="C9833" s="3" t="s">
        <v>8864</v>
      </c>
      <c r="D9833" s="4" t="str">
        <f t="shared" si="1244"/>
        <v>12Go Link</v>
      </c>
      <c r="E9833" s="3" t="s">
        <v>7409</v>
      </c>
      <c r="K9833" s="5"/>
    </row>
    <row r="9834">
      <c r="A9834" s="3" t="s">
        <v>8829</v>
      </c>
      <c r="B9834" s="3" t="s">
        <v>8829</v>
      </c>
      <c r="C9834" s="3" t="s">
        <v>8864</v>
      </c>
      <c r="D9834" s="4" t="str">
        <f t="shared" si="1244"/>
        <v>12Go Link</v>
      </c>
      <c r="E9834" s="3" t="s">
        <v>8835</v>
      </c>
      <c r="K9834" s="5"/>
    </row>
    <row r="9835">
      <c r="A9835" s="3" t="s">
        <v>8829</v>
      </c>
      <c r="B9835" s="3" t="s">
        <v>8829</v>
      </c>
      <c r="C9835" s="3" t="s">
        <v>8865</v>
      </c>
      <c r="D9835" s="4" t="str">
        <f t="shared" ref="D9835:D9839" si="1245">HYPERLINK("https://12go.asia/en/travel/Istanbul-New-Airport/Sirkeci-Hotel-Transfer", "12Go Link")</f>
        <v>12Go Link</v>
      </c>
      <c r="E9835" s="3" t="s">
        <v>3481</v>
      </c>
      <c r="K9835" s="5"/>
    </row>
    <row r="9836">
      <c r="A9836" s="3" t="s">
        <v>8829</v>
      </c>
      <c r="B9836" s="3" t="s">
        <v>8829</v>
      </c>
      <c r="C9836" s="3" t="s">
        <v>8865</v>
      </c>
      <c r="D9836" s="4" t="str">
        <f t="shared" si="1245"/>
        <v>12Go Link</v>
      </c>
      <c r="E9836" s="3" t="s">
        <v>3196</v>
      </c>
      <c r="K9836" s="5"/>
    </row>
    <row r="9837">
      <c r="A9837" s="3" t="s">
        <v>8829</v>
      </c>
      <c r="B9837" s="3" t="s">
        <v>8829</v>
      </c>
      <c r="C9837" s="3" t="s">
        <v>8865</v>
      </c>
      <c r="D9837" s="4" t="str">
        <f t="shared" si="1245"/>
        <v>12Go Link</v>
      </c>
      <c r="E9837" s="3" t="s">
        <v>7409</v>
      </c>
      <c r="K9837" s="5"/>
    </row>
    <row r="9838">
      <c r="A9838" s="3" t="s">
        <v>8829</v>
      </c>
      <c r="B9838" s="3" t="s">
        <v>8829</v>
      </c>
      <c r="C9838" s="3" t="s">
        <v>8865</v>
      </c>
      <c r="D9838" s="4" t="str">
        <f t="shared" si="1245"/>
        <v>12Go Link</v>
      </c>
      <c r="E9838" s="3" t="s">
        <v>8835</v>
      </c>
      <c r="K9838" s="5"/>
    </row>
    <row r="9839">
      <c r="A9839" s="3" t="s">
        <v>8829</v>
      </c>
      <c r="B9839" s="3" t="s">
        <v>8829</v>
      </c>
      <c r="C9839" s="3" t="s">
        <v>8865</v>
      </c>
      <c r="D9839" s="4" t="str">
        <f t="shared" si="1245"/>
        <v>12Go Link</v>
      </c>
      <c r="E9839" s="3" t="s">
        <v>6602</v>
      </c>
      <c r="K9839" s="5"/>
    </row>
    <row r="9840">
      <c r="A9840" s="3" t="s">
        <v>8829</v>
      </c>
      <c r="B9840" s="3" t="s">
        <v>8829</v>
      </c>
      <c r="C9840" s="3" t="s">
        <v>8866</v>
      </c>
      <c r="D9840" s="4" t="str">
        <f t="shared" ref="D9840:D9844" si="1246">HYPERLINK("https://12go.asia/en/travel/Istanbul-New-Airport/Sisli-Hotel-Transfer", "12Go Link")</f>
        <v>12Go Link</v>
      </c>
      <c r="E9840" s="3" t="s">
        <v>3481</v>
      </c>
      <c r="K9840" s="5"/>
    </row>
    <row r="9841">
      <c r="A9841" s="3" t="s">
        <v>8829</v>
      </c>
      <c r="B9841" s="3" t="s">
        <v>8829</v>
      </c>
      <c r="C9841" s="3" t="s">
        <v>8866</v>
      </c>
      <c r="D9841" s="4" t="str">
        <f t="shared" si="1246"/>
        <v>12Go Link</v>
      </c>
      <c r="E9841" s="3" t="s">
        <v>3196</v>
      </c>
      <c r="K9841" s="5"/>
    </row>
    <row r="9842">
      <c r="A9842" s="3" t="s">
        <v>8829</v>
      </c>
      <c r="B9842" s="3" t="s">
        <v>8829</v>
      </c>
      <c r="C9842" s="3" t="s">
        <v>8866</v>
      </c>
      <c r="D9842" s="4" t="str">
        <f t="shared" si="1246"/>
        <v>12Go Link</v>
      </c>
      <c r="E9842" s="3" t="s">
        <v>7409</v>
      </c>
      <c r="K9842" s="5"/>
    </row>
    <row r="9843">
      <c r="A9843" s="3" t="s">
        <v>8829</v>
      </c>
      <c r="B9843" s="3" t="s">
        <v>8829</v>
      </c>
      <c r="C9843" s="3" t="s">
        <v>8866</v>
      </c>
      <c r="D9843" s="4" t="str">
        <f t="shared" si="1246"/>
        <v>12Go Link</v>
      </c>
      <c r="E9843" s="3" t="s">
        <v>8835</v>
      </c>
      <c r="K9843" s="5"/>
    </row>
    <row r="9844">
      <c r="A9844" s="3" t="s">
        <v>8829</v>
      </c>
      <c r="B9844" s="3" t="s">
        <v>8829</v>
      </c>
      <c r="C9844" s="3" t="s">
        <v>8866</v>
      </c>
      <c r="D9844" s="4" t="str">
        <f t="shared" si="1246"/>
        <v>12Go Link</v>
      </c>
      <c r="E9844" s="3" t="s">
        <v>6602</v>
      </c>
      <c r="K9844" s="5"/>
    </row>
    <row r="9845">
      <c r="A9845" s="3" t="s">
        <v>8829</v>
      </c>
      <c r="B9845" s="3" t="s">
        <v>8829</v>
      </c>
      <c r="C9845" s="3" t="s">
        <v>8867</v>
      </c>
      <c r="D9845" s="4" t="str">
        <f t="shared" ref="D9845:D9849" si="1247">HYPERLINK("https://12go.asia/en/travel/Istanbul-New-Airport/Sultanahmet-Hotel-Transfer", "12Go Link")</f>
        <v>12Go Link</v>
      </c>
      <c r="E9845" s="3" t="s">
        <v>3481</v>
      </c>
      <c r="K9845" s="5"/>
    </row>
    <row r="9846">
      <c r="A9846" s="3" t="s">
        <v>8829</v>
      </c>
      <c r="B9846" s="3" t="s">
        <v>8829</v>
      </c>
      <c r="C9846" s="3" t="s">
        <v>8867</v>
      </c>
      <c r="D9846" s="4" t="str">
        <f t="shared" si="1247"/>
        <v>12Go Link</v>
      </c>
      <c r="E9846" s="3" t="s">
        <v>3196</v>
      </c>
      <c r="K9846" s="5"/>
    </row>
    <row r="9847">
      <c r="A9847" s="3" t="s">
        <v>8829</v>
      </c>
      <c r="B9847" s="3" t="s">
        <v>8829</v>
      </c>
      <c r="C9847" s="3" t="s">
        <v>8867</v>
      </c>
      <c r="D9847" s="4" t="str">
        <f t="shared" si="1247"/>
        <v>12Go Link</v>
      </c>
      <c r="E9847" s="3" t="s">
        <v>7409</v>
      </c>
      <c r="K9847" s="5"/>
    </row>
    <row r="9848">
      <c r="A9848" s="3" t="s">
        <v>8829</v>
      </c>
      <c r="B9848" s="3" t="s">
        <v>8829</v>
      </c>
      <c r="C9848" s="3" t="s">
        <v>8867</v>
      </c>
      <c r="D9848" s="4" t="str">
        <f t="shared" si="1247"/>
        <v>12Go Link</v>
      </c>
      <c r="E9848" s="3" t="s">
        <v>8835</v>
      </c>
      <c r="K9848" s="5"/>
    </row>
    <row r="9849">
      <c r="A9849" s="3" t="s">
        <v>8829</v>
      </c>
      <c r="B9849" s="3" t="s">
        <v>8829</v>
      </c>
      <c r="C9849" s="3" t="s">
        <v>8867</v>
      </c>
      <c r="D9849" s="4" t="str">
        <f t="shared" si="1247"/>
        <v>12Go Link</v>
      </c>
      <c r="E9849" s="3" t="s">
        <v>6602</v>
      </c>
      <c r="K9849" s="5"/>
    </row>
    <row r="9850">
      <c r="A9850" s="3" t="s">
        <v>8829</v>
      </c>
      <c r="B9850" s="3" t="s">
        <v>8829</v>
      </c>
      <c r="C9850" s="3" t="s">
        <v>8868</v>
      </c>
      <c r="D9850" s="4" t="str">
        <f t="shared" ref="D9850:D9854" si="1248">HYPERLINK("https://12go.asia/en/travel/Istanbul-New-Airport/Taksim-Hotel-Transfer", "12Go Link")</f>
        <v>12Go Link</v>
      </c>
      <c r="E9850" s="3" t="s">
        <v>3481</v>
      </c>
      <c r="K9850" s="5"/>
    </row>
    <row r="9851">
      <c r="A9851" s="3" t="s">
        <v>8829</v>
      </c>
      <c r="B9851" s="3" t="s">
        <v>8829</v>
      </c>
      <c r="C9851" s="3" t="s">
        <v>8868</v>
      </c>
      <c r="D9851" s="4" t="str">
        <f t="shared" si="1248"/>
        <v>12Go Link</v>
      </c>
      <c r="E9851" s="3" t="s">
        <v>3196</v>
      </c>
      <c r="K9851" s="5"/>
    </row>
    <row r="9852">
      <c r="A9852" s="3" t="s">
        <v>8829</v>
      </c>
      <c r="B9852" s="3" t="s">
        <v>8829</v>
      </c>
      <c r="C9852" s="3" t="s">
        <v>8868</v>
      </c>
      <c r="D9852" s="4" t="str">
        <f t="shared" si="1248"/>
        <v>12Go Link</v>
      </c>
      <c r="E9852" s="3" t="s">
        <v>7409</v>
      </c>
      <c r="K9852" s="5"/>
    </row>
    <row r="9853">
      <c r="A9853" s="3" t="s">
        <v>8829</v>
      </c>
      <c r="B9853" s="3" t="s">
        <v>8829</v>
      </c>
      <c r="C9853" s="3" t="s">
        <v>8868</v>
      </c>
      <c r="D9853" s="4" t="str">
        <f t="shared" si="1248"/>
        <v>12Go Link</v>
      </c>
      <c r="E9853" s="3" t="s">
        <v>8835</v>
      </c>
      <c r="K9853" s="5"/>
    </row>
    <row r="9854">
      <c r="A9854" s="3" t="s">
        <v>8829</v>
      </c>
      <c r="B9854" s="3" t="s">
        <v>8829</v>
      </c>
      <c r="C9854" s="3" t="s">
        <v>8868</v>
      </c>
      <c r="D9854" s="4" t="str">
        <f t="shared" si="1248"/>
        <v>12Go Link</v>
      </c>
      <c r="E9854" s="3" t="s">
        <v>6602</v>
      </c>
      <c r="K9854" s="5"/>
    </row>
    <row r="9855">
      <c r="A9855" s="3" t="s">
        <v>8829</v>
      </c>
      <c r="B9855" s="3" t="s">
        <v>8829</v>
      </c>
      <c r="C9855" s="3" t="s">
        <v>8869</v>
      </c>
      <c r="D9855" s="4" t="str">
        <f t="shared" ref="D9855:D9858" si="1249">HYPERLINK("https://12go.asia/en/travel/Istanbul-New-Airport/Umraniye-Hotel-Transfer", "12Go Link")</f>
        <v>12Go Link</v>
      </c>
      <c r="E9855" s="3" t="s">
        <v>3481</v>
      </c>
      <c r="K9855" s="5"/>
    </row>
    <row r="9856">
      <c r="A9856" s="3" t="s">
        <v>8829</v>
      </c>
      <c r="B9856" s="3" t="s">
        <v>8829</v>
      </c>
      <c r="C9856" s="3" t="s">
        <v>8869</v>
      </c>
      <c r="D9856" s="4" t="str">
        <f t="shared" si="1249"/>
        <v>12Go Link</v>
      </c>
      <c r="E9856" s="3" t="s">
        <v>3196</v>
      </c>
      <c r="K9856" s="5"/>
    </row>
    <row r="9857">
      <c r="A9857" s="3" t="s">
        <v>8829</v>
      </c>
      <c r="B9857" s="3" t="s">
        <v>8829</v>
      </c>
      <c r="C9857" s="3" t="s">
        <v>8869</v>
      </c>
      <c r="D9857" s="4" t="str">
        <f t="shared" si="1249"/>
        <v>12Go Link</v>
      </c>
      <c r="E9857" s="3" t="s">
        <v>7409</v>
      </c>
      <c r="K9857" s="5"/>
    </row>
    <row r="9858">
      <c r="A9858" s="3" t="s">
        <v>8829</v>
      </c>
      <c r="B9858" s="3" t="s">
        <v>8829</v>
      </c>
      <c r="C9858" s="3" t="s">
        <v>8869</v>
      </c>
      <c r="D9858" s="4" t="str">
        <f t="shared" si="1249"/>
        <v>12Go Link</v>
      </c>
      <c r="E9858" s="3" t="s">
        <v>8835</v>
      </c>
      <c r="K9858" s="5"/>
    </row>
    <row r="9859">
      <c r="A9859" s="3" t="s">
        <v>8829</v>
      </c>
      <c r="B9859" s="3" t="s">
        <v>8829</v>
      </c>
      <c r="C9859" s="3" t="s">
        <v>8870</v>
      </c>
      <c r="D9859" s="4" t="str">
        <f t="shared" ref="D9859:D9862" si="1250">HYPERLINK("https://12go.asia/en/travel/Istanbul-New-Airport/Uskudar-Hotel-Transfer", "12Go Link")</f>
        <v>12Go Link</v>
      </c>
      <c r="E9859" s="3" t="s">
        <v>3481</v>
      </c>
      <c r="K9859" s="5"/>
    </row>
    <row r="9860">
      <c r="A9860" s="3" t="s">
        <v>8829</v>
      </c>
      <c r="B9860" s="3" t="s">
        <v>8829</v>
      </c>
      <c r="C9860" s="3" t="s">
        <v>8870</v>
      </c>
      <c r="D9860" s="4" t="str">
        <f t="shared" si="1250"/>
        <v>12Go Link</v>
      </c>
      <c r="E9860" s="3" t="s">
        <v>3196</v>
      </c>
      <c r="K9860" s="5"/>
    </row>
    <row r="9861">
      <c r="A9861" s="3" t="s">
        <v>8829</v>
      </c>
      <c r="B9861" s="3" t="s">
        <v>8829</v>
      </c>
      <c r="C9861" s="3" t="s">
        <v>8870</v>
      </c>
      <c r="D9861" s="4" t="str">
        <f t="shared" si="1250"/>
        <v>12Go Link</v>
      </c>
      <c r="E9861" s="3" t="s">
        <v>7409</v>
      </c>
      <c r="K9861" s="5"/>
    </row>
    <row r="9862">
      <c r="A9862" s="3" t="s">
        <v>8829</v>
      </c>
      <c r="B9862" s="3" t="s">
        <v>8829</v>
      </c>
      <c r="C9862" s="3" t="s">
        <v>8870</v>
      </c>
      <c r="D9862" s="4" t="str">
        <f t="shared" si="1250"/>
        <v>12Go Link</v>
      </c>
      <c r="E9862" s="3" t="s">
        <v>8835</v>
      </c>
      <c r="K9862" s="5"/>
    </row>
    <row r="9863">
      <c r="A9863" s="3" t="s">
        <v>8829</v>
      </c>
      <c r="B9863" s="3" t="s">
        <v>8829</v>
      </c>
      <c r="C9863" s="3" t="s">
        <v>8871</v>
      </c>
      <c r="D9863" s="4" t="str">
        <f>HYPERLINK("https://12go.asia/en/travel/Istanbul-Port/Besiktas-Hotel-Transfer", "12Go Link")</f>
        <v>12Go Link</v>
      </c>
      <c r="E9863" s="3" t="s">
        <v>6602</v>
      </c>
      <c r="K9863" s="5"/>
    </row>
    <row r="9864">
      <c r="A9864" s="3" t="s">
        <v>8829</v>
      </c>
      <c r="B9864" s="3" t="s">
        <v>8829</v>
      </c>
      <c r="C9864" s="3" t="s">
        <v>8872</v>
      </c>
      <c r="D9864" s="4" t="str">
        <f>HYPERLINK("https://12go.asia/en/travel/Istanbul-Port/Beyazit-Hotel-Transfer", "12Go Link")</f>
        <v>12Go Link</v>
      </c>
      <c r="E9864" s="3" t="s">
        <v>6602</v>
      </c>
      <c r="K9864" s="5"/>
    </row>
    <row r="9865">
      <c r="A9865" s="3" t="s">
        <v>8829</v>
      </c>
      <c r="B9865" s="3" t="s">
        <v>8829</v>
      </c>
      <c r="C9865" s="3" t="s">
        <v>8873</v>
      </c>
      <c r="D9865" s="4" t="str">
        <f>HYPERLINK("https://12go.asia/en/travel/Istanbul-Port/Beyoglu-Hotel-Transfer", "12Go Link")</f>
        <v>12Go Link</v>
      </c>
      <c r="E9865" s="3" t="s">
        <v>6602</v>
      </c>
      <c r="K9865" s="5"/>
    </row>
    <row r="9866">
      <c r="A9866" s="3" t="s">
        <v>8829</v>
      </c>
      <c r="B9866" s="3" t="s">
        <v>8829</v>
      </c>
      <c r="C9866" s="3" t="s">
        <v>8874</v>
      </c>
      <c r="D9866" s="4" t="str">
        <f>HYPERLINK("https://12go.asia/en/travel/Istanbul-Port/Fatih-Hotel-Transfer", "12Go Link")</f>
        <v>12Go Link</v>
      </c>
      <c r="E9866" s="3" t="s">
        <v>6602</v>
      </c>
      <c r="K9866" s="5"/>
    </row>
    <row r="9867">
      <c r="A9867" s="3" t="s">
        <v>8829</v>
      </c>
      <c r="B9867" s="3" t="s">
        <v>8829</v>
      </c>
      <c r="C9867" s="3" t="s">
        <v>8875</v>
      </c>
      <c r="D9867" s="4" t="str">
        <f t="shared" ref="D9867:D9871" si="1251">HYPERLINK("https://12go.asia/en/travel/Istanbul-Port/Istanbul-New-Airport", "12Go Link")</f>
        <v>12Go Link</v>
      </c>
      <c r="E9867" s="3" t="s">
        <v>3481</v>
      </c>
      <c r="K9867" s="5"/>
    </row>
    <row r="9868">
      <c r="A9868" s="3" t="s">
        <v>8829</v>
      </c>
      <c r="B9868" s="3" t="s">
        <v>8829</v>
      </c>
      <c r="C9868" s="3" t="s">
        <v>8875</v>
      </c>
      <c r="D9868" s="4" t="str">
        <f t="shared" si="1251"/>
        <v>12Go Link</v>
      </c>
      <c r="E9868" s="3" t="s">
        <v>3196</v>
      </c>
      <c r="K9868" s="5"/>
    </row>
    <row r="9869">
      <c r="A9869" s="3" t="s">
        <v>8829</v>
      </c>
      <c r="B9869" s="3" t="s">
        <v>8829</v>
      </c>
      <c r="C9869" s="3" t="s">
        <v>8875</v>
      </c>
      <c r="D9869" s="4" t="str">
        <f t="shared" si="1251"/>
        <v>12Go Link</v>
      </c>
      <c r="E9869" s="3" t="s">
        <v>7409</v>
      </c>
      <c r="K9869" s="5"/>
    </row>
    <row r="9870">
      <c r="A9870" s="3" t="s">
        <v>8829</v>
      </c>
      <c r="B9870" s="3" t="s">
        <v>8829</v>
      </c>
      <c r="C9870" s="3" t="s">
        <v>8875</v>
      </c>
      <c r="D9870" s="4" t="str">
        <f t="shared" si="1251"/>
        <v>12Go Link</v>
      </c>
      <c r="E9870" s="3" t="s">
        <v>8835</v>
      </c>
      <c r="K9870" s="5"/>
    </row>
    <row r="9871">
      <c r="A9871" s="3" t="s">
        <v>8829</v>
      </c>
      <c r="B9871" s="3" t="s">
        <v>8829</v>
      </c>
      <c r="C9871" s="3" t="s">
        <v>8875</v>
      </c>
      <c r="D9871" s="4" t="str">
        <f t="shared" si="1251"/>
        <v>12Go Link</v>
      </c>
      <c r="E9871" s="3" t="s">
        <v>6602</v>
      </c>
      <c r="K9871" s="5"/>
    </row>
    <row r="9872">
      <c r="A9872" s="3" t="s">
        <v>8829</v>
      </c>
      <c r="B9872" s="3" t="s">
        <v>8829</v>
      </c>
      <c r="C9872" s="3" t="s">
        <v>8876</v>
      </c>
      <c r="D9872" s="4" t="str">
        <f>HYPERLINK("https://12go.asia/en/travel/Istanbul-Port/Karakoy-Hotel-Transfer", "12Go Link")</f>
        <v>12Go Link</v>
      </c>
      <c r="E9872" s="3" t="s">
        <v>6602</v>
      </c>
      <c r="K9872" s="5"/>
    </row>
    <row r="9873">
      <c r="A9873" s="3" t="s">
        <v>8829</v>
      </c>
      <c r="B9873" s="3" t="s">
        <v>8829</v>
      </c>
      <c r="C9873" s="3" t="s">
        <v>8877</v>
      </c>
      <c r="D9873" s="4" t="str">
        <f t="shared" ref="D9873:D9876" si="1252">HYPERLINK("https://12go.asia/en/travel/Istanbul-Port/Sabiha-Gokcen-Airport", "12Go Link")</f>
        <v>12Go Link</v>
      </c>
      <c r="E9873" s="3" t="s">
        <v>3481</v>
      </c>
      <c r="K9873" s="5"/>
    </row>
    <row r="9874">
      <c r="A9874" s="3" t="s">
        <v>8829</v>
      </c>
      <c r="B9874" s="3" t="s">
        <v>8829</v>
      </c>
      <c r="C9874" s="3" t="s">
        <v>8877</v>
      </c>
      <c r="D9874" s="4" t="str">
        <f t="shared" si="1252"/>
        <v>12Go Link</v>
      </c>
      <c r="E9874" s="3" t="s">
        <v>3196</v>
      </c>
      <c r="K9874" s="5"/>
    </row>
    <row r="9875">
      <c r="A9875" s="3" t="s">
        <v>8829</v>
      </c>
      <c r="B9875" s="3" t="s">
        <v>8829</v>
      </c>
      <c r="C9875" s="3" t="s">
        <v>8877</v>
      </c>
      <c r="D9875" s="4" t="str">
        <f t="shared" si="1252"/>
        <v>12Go Link</v>
      </c>
      <c r="E9875" s="3" t="s">
        <v>7409</v>
      </c>
      <c r="K9875" s="5"/>
    </row>
    <row r="9876">
      <c r="A9876" s="3" t="s">
        <v>8829</v>
      </c>
      <c r="B9876" s="3" t="s">
        <v>8829</v>
      </c>
      <c r="C9876" s="3" t="s">
        <v>8877</v>
      </c>
      <c r="D9876" s="4" t="str">
        <f t="shared" si="1252"/>
        <v>12Go Link</v>
      </c>
      <c r="E9876" s="3" t="s">
        <v>8835</v>
      </c>
      <c r="K9876" s="5"/>
    </row>
    <row r="9877">
      <c r="A9877" s="3" t="s">
        <v>8829</v>
      </c>
      <c r="B9877" s="3" t="s">
        <v>8829</v>
      </c>
      <c r="C9877" s="3" t="s">
        <v>8878</v>
      </c>
      <c r="D9877" s="4" t="str">
        <f>HYPERLINK("https://12go.asia/en/travel/Istanbul-Port/Sirkeci-Hotel-Transfer", "12Go Link")</f>
        <v>12Go Link</v>
      </c>
      <c r="E9877" s="3" t="s">
        <v>6602</v>
      </c>
      <c r="K9877" s="5"/>
    </row>
    <row r="9878">
      <c r="A9878" s="3" t="s">
        <v>8829</v>
      </c>
      <c r="B9878" s="3" t="s">
        <v>8829</v>
      </c>
      <c r="C9878" s="3" t="s">
        <v>8879</v>
      </c>
      <c r="D9878" s="4" t="str">
        <f>HYPERLINK("https://12go.asia/en/travel/Istanbul-Port/Sisli-Hotel-Transfer", "12Go Link")</f>
        <v>12Go Link</v>
      </c>
      <c r="E9878" s="3" t="s">
        <v>6602</v>
      </c>
      <c r="K9878" s="5"/>
    </row>
    <row r="9879">
      <c r="A9879" s="3" t="s">
        <v>8829</v>
      </c>
      <c r="B9879" s="3" t="s">
        <v>8829</v>
      </c>
      <c r="C9879" s="3" t="s">
        <v>8880</v>
      </c>
      <c r="D9879" s="4" t="str">
        <f>HYPERLINK("https://12go.asia/en/travel/Istanbul-Port/Sultanahmet-Hotel-Transfer", "12Go Link")</f>
        <v>12Go Link</v>
      </c>
      <c r="E9879" s="3" t="s">
        <v>6602</v>
      </c>
      <c r="K9879" s="5"/>
    </row>
    <row r="9880">
      <c r="A9880" s="3" t="s">
        <v>8829</v>
      </c>
      <c r="B9880" s="3" t="s">
        <v>8829</v>
      </c>
      <c r="C9880" s="3" t="s">
        <v>8881</v>
      </c>
      <c r="D9880" s="4" t="str">
        <f>HYPERLINK("https://12go.asia/en/travel/Istanbul-Port/Taksim-Hotel-Transfer", "12Go Link")</f>
        <v>12Go Link</v>
      </c>
      <c r="E9880" s="3" t="s">
        <v>6602</v>
      </c>
      <c r="K9880" s="5"/>
    </row>
    <row r="9881">
      <c r="A9881" s="3" t="s">
        <v>8829</v>
      </c>
      <c r="B9881" s="3" t="s">
        <v>8829</v>
      </c>
      <c r="C9881" s="3" t="s">
        <v>8882</v>
      </c>
      <c r="D9881" s="4" t="str">
        <f t="shared" ref="D9881:D9884" si="1253">HYPERLINK("https://12go.asia/en/travel/Kadikoy-Hotel-Transfer/Istanbul-New-Airport", "12Go Link")</f>
        <v>12Go Link</v>
      </c>
      <c r="E9881" s="3" t="s">
        <v>3481</v>
      </c>
      <c r="K9881" s="5"/>
    </row>
    <row r="9882">
      <c r="A9882" s="3" t="s">
        <v>8829</v>
      </c>
      <c r="B9882" s="3" t="s">
        <v>8829</v>
      </c>
      <c r="C9882" s="3" t="s">
        <v>8882</v>
      </c>
      <c r="D9882" s="4" t="str">
        <f t="shared" si="1253"/>
        <v>12Go Link</v>
      </c>
      <c r="E9882" s="3" t="s">
        <v>3196</v>
      </c>
      <c r="K9882" s="5"/>
    </row>
    <row r="9883">
      <c r="A9883" s="3" t="s">
        <v>8829</v>
      </c>
      <c r="B9883" s="3" t="s">
        <v>8829</v>
      </c>
      <c r="C9883" s="3" t="s">
        <v>8882</v>
      </c>
      <c r="D9883" s="4" t="str">
        <f t="shared" si="1253"/>
        <v>12Go Link</v>
      </c>
      <c r="E9883" s="3" t="s">
        <v>7409</v>
      </c>
      <c r="K9883" s="5"/>
    </row>
    <row r="9884">
      <c r="A9884" s="3" t="s">
        <v>8829</v>
      </c>
      <c r="B9884" s="3" t="s">
        <v>8829</v>
      </c>
      <c r="C9884" s="3" t="s">
        <v>8882</v>
      </c>
      <c r="D9884" s="4" t="str">
        <f t="shared" si="1253"/>
        <v>12Go Link</v>
      </c>
      <c r="E9884" s="3" t="s">
        <v>8835</v>
      </c>
      <c r="K9884" s="5"/>
    </row>
    <row r="9885">
      <c r="A9885" s="3" t="s">
        <v>8829</v>
      </c>
      <c r="B9885" s="3" t="s">
        <v>8829</v>
      </c>
      <c r="C9885" s="3" t="s">
        <v>8883</v>
      </c>
      <c r="D9885" s="4" t="str">
        <f t="shared" ref="D9885:D9888" si="1254">HYPERLINK("https://12go.asia/en/travel/Kadikoy-Hotel-Transfer/Sabiha-Gokcen-Airport", "12Go Link")</f>
        <v>12Go Link</v>
      </c>
      <c r="E9885" s="3" t="s">
        <v>3481</v>
      </c>
      <c r="K9885" s="5"/>
    </row>
    <row r="9886">
      <c r="A9886" s="3" t="s">
        <v>8829</v>
      </c>
      <c r="B9886" s="3" t="s">
        <v>8829</v>
      </c>
      <c r="C9886" s="3" t="s">
        <v>8883</v>
      </c>
      <c r="D9886" s="4" t="str">
        <f t="shared" si="1254"/>
        <v>12Go Link</v>
      </c>
      <c r="E9886" s="3" t="s">
        <v>3196</v>
      </c>
      <c r="K9886" s="5"/>
    </row>
    <row r="9887">
      <c r="A9887" s="3" t="s">
        <v>8829</v>
      </c>
      <c r="B9887" s="3" t="s">
        <v>8829</v>
      </c>
      <c r="C9887" s="3" t="s">
        <v>8883</v>
      </c>
      <c r="D9887" s="4" t="str">
        <f t="shared" si="1254"/>
        <v>12Go Link</v>
      </c>
      <c r="E9887" s="3" t="s">
        <v>7409</v>
      </c>
      <c r="K9887" s="5"/>
    </row>
    <row r="9888">
      <c r="A9888" s="3" t="s">
        <v>8829</v>
      </c>
      <c r="B9888" s="3" t="s">
        <v>8829</v>
      </c>
      <c r="C9888" s="3" t="s">
        <v>8883</v>
      </c>
      <c r="D9888" s="4" t="str">
        <f t="shared" si="1254"/>
        <v>12Go Link</v>
      </c>
      <c r="E9888" s="3" t="s">
        <v>8835</v>
      </c>
      <c r="K9888" s="5"/>
    </row>
    <row r="9889">
      <c r="A9889" s="3" t="s">
        <v>8829</v>
      </c>
      <c r="B9889" s="3" t="s">
        <v>8829</v>
      </c>
      <c r="C9889" s="3" t="s">
        <v>8884</v>
      </c>
      <c r="D9889" s="4" t="str">
        <f t="shared" ref="D9889:D9893" si="1255">HYPERLINK("https://12go.asia/en/travel/Karakoy-Hotel-Transfer/Istanbul-New-Airport", "12Go Link")</f>
        <v>12Go Link</v>
      </c>
      <c r="E9889" s="3" t="s">
        <v>3481</v>
      </c>
      <c r="K9889" s="5"/>
    </row>
    <row r="9890">
      <c r="A9890" s="3" t="s">
        <v>8829</v>
      </c>
      <c r="B9890" s="3" t="s">
        <v>8829</v>
      </c>
      <c r="C9890" s="3" t="s">
        <v>8884</v>
      </c>
      <c r="D9890" s="4" t="str">
        <f t="shared" si="1255"/>
        <v>12Go Link</v>
      </c>
      <c r="E9890" s="3" t="s">
        <v>3196</v>
      </c>
      <c r="K9890" s="5"/>
    </row>
    <row r="9891">
      <c r="A9891" s="3" t="s">
        <v>8829</v>
      </c>
      <c r="B9891" s="3" t="s">
        <v>8829</v>
      </c>
      <c r="C9891" s="3" t="s">
        <v>8884</v>
      </c>
      <c r="D9891" s="4" t="str">
        <f t="shared" si="1255"/>
        <v>12Go Link</v>
      </c>
      <c r="E9891" s="3" t="s">
        <v>7409</v>
      </c>
      <c r="K9891" s="5"/>
    </row>
    <row r="9892">
      <c r="A9892" s="3" t="s">
        <v>8829</v>
      </c>
      <c r="B9892" s="3" t="s">
        <v>8829</v>
      </c>
      <c r="C9892" s="3" t="s">
        <v>8884</v>
      </c>
      <c r="D9892" s="4" t="str">
        <f t="shared" si="1255"/>
        <v>12Go Link</v>
      </c>
      <c r="E9892" s="3" t="s">
        <v>8835</v>
      </c>
      <c r="K9892" s="5"/>
    </row>
    <row r="9893">
      <c r="A9893" s="3" t="s">
        <v>8829</v>
      </c>
      <c r="B9893" s="3" t="s">
        <v>8829</v>
      </c>
      <c r="C9893" s="3" t="s">
        <v>8884</v>
      </c>
      <c r="D9893" s="4" t="str">
        <f t="shared" si="1255"/>
        <v>12Go Link</v>
      </c>
      <c r="E9893" s="3" t="s">
        <v>6602</v>
      </c>
      <c r="K9893" s="5"/>
    </row>
    <row r="9894">
      <c r="A9894" s="3" t="s">
        <v>8829</v>
      </c>
      <c r="B9894" s="3" t="s">
        <v>8829</v>
      </c>
      <c r="C9894" s="3" t="s">
        <v>8885</v>
      </c>
      <c r="D9894" s="4" t="str">
        <f>HYPERLINK("https://12go.asia/en/travel/Karakoy-Hotel-Transfer/Istanbul-Port", "12Go Link")</f>
        <v>12Go Link</v>
      </c>
      <c r="E9894" s="3" t="s">
        <v>6602</v>
      </c>
      <c r="K9894" s="5"/>
    </row>
    <row r="9895">
      <c r="A9895" s="3" t="s">
        <v>8829</v>
      </c>
      <c r="B9895" s="3" t="s">
        <v>8829</v>
      </c>
      <c r="C9895" s="3" t="s">
        <v>8886</v>
      </c>
      <c r="D9895" s="4" t="str">
        <f>HYPERLINK("https://12go.asia/en/travel/Karakoy-Hotel-Transfer/Sabiha-Gokcen-Airport", "12Go Link")</f>
        <v>12Go Link</v>
      </c>
      <c r="E9895" s="3" t="s">
        <v>6602</v>
      </c>
      <c r="K9895" s="5"/>
    </row>
    <row r="9896">
      <c r="A9896" s="3" t="s">
        <v>8829</v>
      </c>
      <c r="B9896" s="3" t="s">
        <v>8829</v>
      </c>
      <c r="C9896" s="3" t="s">
        <v>8887</v>
      </c>
      <c r="D9896" s="4" t="str">
        <f t="shared" ref="D9896:D9899" si="1256">HYPERLINK("https://12go.asia/en/travel/Sabiha-Gokcen-Airport/Atasehir-Hotel-Transfer", "12Go Link")</f>
        <v>12Go Link</v>
      </c>
      <c r="E9896" s="3" t="s">
        <v>3481</v>
      </c>
      <c r="K9896" s="5"/>
    </row>
    <row r="9897">
      <c r="A9897" s="3" t="s">
        <v>8829</v>
      </c>
      <c r="B9897" s="3" t="s">
        <v>8829</v>
      </c>
      <c r="C9897" s="3" t="s">
        <v>8887</v>
      </c>
      <c r="D9897" s="4" t="str">
        <f t="shared" si="1256"/>
        <v>12Go Link</v>
      </c>
      <c r="E9897" s="3" t="s">
        <v>3196</v>
      </c>
      <c r="K9897" s="5"/>
    </row>
    <row r="9898">
      <c r="A9898" s="3" t="s">
        <v>8829</v>
      </c>
      <c r="B9898" s="3" t="s">
        <v>8829</v>
      </c>
      <c r="C9898" s="3" t="s">
        <v>8887</v>
      </c>
      <c r="D9898" s="4" t="str">
        <f t="shared" si="1256"/>
        <v>12Go Link</v>
      </c>
      <c r="E9898" s="3" t="s">
        <v>7409</v>
      </c>
      <c r="K9898" s="5"/>
    </row>
    <row r="9899">
      <c r="A9899" s="3" t="s">
        <v>8829</v>
      </c>
      <c r="B9899" s="3" t="s">
        <v>8829</v>
      </c>
      <c r="C9899" s="3" t="s">
        <v>8887</v>
      </c>
      <c r="D9899" s="4" t="str">
        <f t="shared" si="1256"/>
        <v>12Go Link</v>
      </c>
      <c r="E9899" s="3" t="s">
        <v>8835</v>
      </c>
      <c r="K9899" s="5"/>
    </row>
    <row r="9900">
      <c r="A9900" s="3" t="s">
        <v>8829</v>
      </c>
      <c r="B9900" s="3" t="s">
        <v>8829</v>
      </c>
      <c r="C9900" s="3" t="s">
        <v>8888</v>
      </c>
      <c r="D9900" s="4" t="str">
        <f t="shared" ref="D9900:D9903" si="1257">HYPERLINK("https://12go.asia/en/travel/Sabiha-Gokcen-Airport/Bahcelievler-Hotel-Transfer", "12Go Link")</f>
        <v>12Go Link</v>
      </c>
      <c r="E9900" s="3" t="s">
        <v>3481</v>
      </c>
      <c r="K9900" s="5"/>
    </row>
    <row r="9901">
      <c r="A9901" s="3" t="s">
        <v>8829</v>
      </c>
      <c r="B9901" s="3" t="s">
        <v>8829</v>
      </c>
      <c r="C9901" s="3" t="s">
        <v>8888</v>
      </c>
      <c r="D9901" s="4" t="str">
        <f t="shared" si="1257"/>
        <v>12Go Link</v>
      </c>
      <c r="E9901" s="3" t="s">
        <v>3196</v>
      </c>
      <c r="K9901" s="5"/>
    </row>
    <row r="9902">
      <c r="A9902" s="3" t="s">
        <v>8829</v>
      </c>
      <c r="B9902" s="3" t="s">
        <v>8829</v>
      </c>
      <c r="C9902" s="3" t="s">
        <v>8888</v>
      </c>
      <c r="D9902" s="4" t="str">
        <f t="shared" si="1257"/>
        <v>12Go Link</v>
      </c>
      <c r="E9902" s="3" t="s">
        <v>7409</v>
      </c>
      <c r="K9902" s="5"/>
    </row>
    <row r="9903">
      <c r="A9903" s="3" t="s">
        <v>8829</v>
      </c>
      <c r="B9903" s="3" t="s">
        <v>8829</v>
      </c>
      <c r="C9903" s="3" t="s">
        <v>8888</v>
      </c>
      <c r="D9903" s="4" t="str">
        <f t="shared" si="1257"/>
        <v>12Go Link</v>
      </c>
      <c r="E9903" s="3" t="s">
        <v>8835</v>
      </c>
      <c r="K9903" s="5"/>
    </row>
    <row r="9904">
      <c r="A9904" s="3" t="s">
        <v>8829</v>
      </c>
      <c r="B9904" s="3" t="s">
        <v>8829</v>
      </c>
      <c r="C9904" s="3" t="s">
        <v>8889</v>
      </c>
      <c r="D9904" s="4" t="str">
        <f t="shared" ref="D9904:D9907" si="1258">HYPERLINK("https://12go.asia/en/travel/Sabiha-Gokcen-Airport/Bakirkoy-Hotel-Transfer", "12Go Link")</f>
        <v>12Go Link</v>
      </c>
      <c r="E9904" s="3" t="s">
        <v>3481</v>
      </c>
      <c r="K9904" s="5"/>
    </row>
    <row r="9905">
      <c r="A9905" s="3" t="s">
        <v>8829</v>
      </c>
      <c r="B9905" s="3" t="s">
        <v>8829</v>
      </c>
      <c r="C9905" s="3" t="s">
        <v>8889</v>
      </c>
      <c r="D9905" s="4" t="str">
        <f t="shared" si="1258"/>
        <v>12Go Link</v>
      </c>
      <c r="E9905" s="3" t="s">
        <v>3196</v>
      </c>
      <c r="K9905" s="5"/>
    </row>
    <row r="9906">
      <c r="A9906" s="3" t="s">
        <v>8829</v>
      </c>
      <c r="B9906" s="3" t="s">
        <v>8829</v>
      </c>
      <c r="C9906" s="3" t="s">
        <v>8889</v>
      </c>
      <c r="D9906" s="4" t="str">
        <f t="shared" si="1258"/>
        <v>12Go Link</v>
      </c>
      <c r="E9906" s="3" t="s">
        <v>7409</v>
      </c>
      <c r="K9906" s="5"/>
    </row>
    <row r="9907">
      <c r="A9907" s="3" t="s">
        <v>8829</v>
      </c>
      <c r="B9907" s="3" t="s">
        <v>8829</v>
      </c>
      <c r="C9907" s="3" t="s">
        <v>8889</v>
      </c>
      <c r="D9907" s="4" t="str">
        <f t="shared" si="1258"/>
        <v>12Go Link</v>
      </c>
      <c r="E9907" s="3" t="s">
        <v>8835</v>
      </c>
      <c r="K9907" s="5"/>
    </row>
    <row r="9908">
      <c r="A9908" s="3" t="s">
        <v>8829</v>
      </c>
      <c r="B9908" s="3" t="s">
        <v>8829</v>
      </c>
      <c r="C9908" s="3" t="s">
        <v>8890</v>
      </c>
      <c r="D9908" s="4" t="str">
        <f t="shared" ref="D9908:D9911" si="1259">HYPERLINK("https://12go.asia/en/travel/Sabiha-Gokcen-Airport/Bayrampasa-Hotel-Transfer", "12Go Link")</f>
        <v>12Go Link</v>
      </c>
      <c r="E9908" s="3" t="s">
        <v>3481</v>
      </c>
      <c r="K9908" s="5"/>
    </row>
    <row r="9909">
      <c r="A9909" s="3" t="s">
        <v>8829</v>
      </c>
      <c r="B9909" s="3" t="s">
        <v>8829</v>
      </c>
      <c r="C9909" s="3" t="s">
        <v>8890</v>
      </c>
      <c r="D9909" s="4" t="str">
        <f t="shared" si="1259"/>
        <v>12Go Link</v>
      </c>
      <c r="E9909" s="3" t="s">
        <v>3196</v>
      </c>
      <c r="K9909" s="5"/>
    </row>
    <row r="9910">
      <c r="A9910" s="3" t="s">
        <v>8829</v>
      </c>
      <c r="B9910" s="3" t="s">
        <v>8829</v>
      </c>
      <c r="C9910" s="3" t="s">
        <v>8890</v>
      </c>
      <c r="D9910" s="4" t="str">
        <f t="shared" si="1259"/>
        <v>12Go Link</v>
      </c>
      <c r="E9910" s="3" t="s">
        <v>8835</v>
      </c>
      <c r="K9910" s="5"/>
    </row>
    <row r="9911">
      <c r="A9911" s="3" t="s">
        <v>8829</v>
      </c>
      <c r="B9911" s="3" t="s">
        <v>8829</v>
      </c>
      <c r="C9911" s="3" t="s">
        <v>8890</v>
      </c>
      <c r="D9911" s="4" t="str">
        <f t="shared" si="1259"/>
        <v>12Go Link</v>
      </c>
      <c r="E9911" s="3" t="s">
        <v>6602</v>
      </c>
      <c r="K9911" s="5"/>
    </row>
    <row r="9912">
      <c r="A9912" s="3" t="s">
        <v>8829</v>
      </c>
      <c r="B9912" s="3" t="s">
        <v>8829</v>
      </c>
      <c r="C9912" s="3" t="s">
        <v>8891</v>
      </c>
      <c r="D9912" s="4" t="str">
        <f>HYPERLINK("https://12go.asia/en/travel/Sabiha-Gokcen-Airport/Besiktas-Hotel-Transfer", "12Go Link")</f>
        <v>12Go Link</v>
      </c>
      <c r="E9912" s="3" t="s">
        <v>6602</v>
      </c>
      <c r="K9912" s="5"/>
    </row>
    <row r="9913">
      <c r="A9913" s="3" t="s">
        <v>8829</v>
      </c>
      <c r="B9913" s="3" t="s">
        <v>8829</v>
      </c>
      <c r="C9913" s="3" t="s">
        <v>8892</v>
      </c>
      <c r="D9913" s="4" t="str">
        <f>HYPERLINK("https://12go.asia/en/travel/Sabiha-Gokcen-Airport/Beyazit-Hotel-Transfer", "12Go Link")</f>
        <v>12Go Link</v>
      </c>
      <c r="E9913" s="3" t="s">
        <v>6602</v>
      </c>
      <c r="K9913" s="5"/>
    </row>
    <row r="9914">
      <c r="A9914" s="3" t="s">
        <v>8829</v>
      </c>
      <c r="B9914" s="3" t="s">
        <v>8829</v>
      </c>
      <c r="C9914" s="3" t="s">
        <v>8893</v>
      </c>
      <c r="D9914" s="4" t="str">
        <f>HYPERLINK("https://12go.asia/en/travel/Sabiha-Gokcen-Airport/Beyoglu-Hotel-Transfer", "12Go Link")</f>
        <v>12Go Link</v>
      </c>
      <c r="E9914" s="3" t="s">
        <v>6602</v>
      </c>
      <c r="K9914" s="5"/>
    </row>
    <row r="9915">
      <c r="A9915" s="3" t="s">
        <v>8829</v>
      </c>
      <c r="B9915" s="3" t="s">
        <v>8829</v>
      </c>
      <c r="C9915" s="3" t="s">
        <v>8894</v>
      </c>
      <c r="D9915" s="4" t="str">
        <f t="shared" ref="D9915:D9919" si="1260">HYPERLINK("https://12go.asia/en/travel/Sabiha-Gokcen-Airport/Fatih-Hotel-Transfer", "12Go Link")</f>
        <v>12Go Link</v>
      </c>
      <c r="E9915" s="3" t="s">
        <v>3481</v>
      </c>
      <c r="K9915" s="5"/>
    </row>
    <row r="9916">
      <c r="A9916" s="3" t="s">
        <v>8829</v>
      </c>
      <c r="B9916" s="3" t="s">
        <v>8829</v>
      </c>
      <c r="C9916" s="3" t="s">
        <v>8894</v>
      </c>
      <c r="D9916" s="4" t="str">
        <f t="shared" si="1260"/>
        <v>12Go Link</v>
      </c>
      <c r="E9916" s="3" t="s">
        <v>3196</v>
      </c>
      <c r="K9916" s="5"/>
    </row>
    <row r="9917">
      <c r="A9917" s="3" t="s">
        <v>8829</v>
      </c>
      <c r="B9917" s="3" t="s">
        <v>8829</v>
      </c>
      <c r="C9917" s="3" t="s">
        <v>8894</v>
      </c>
      <c r="D9917" s="4" t="str">
        <f t="shared" si="1260"/>
        <v>12Go Link</v>
      </c>
      <c r="E9917" s="3" t="s">
        <v>7409</v>
      </c>
      <c r="K9917" s="5"/>
    </row>
    <row r="9918">
      <c r="A9918" s="3" t="s">
        <v>8829</v>
      </c>
      <c r="B9918" s="3" t="s">
        <v>8829</v>
      </c>
      <c r="C9918" s="3" t="s">
        <v>8894</v>
      </c>
      <c r="D9918" s="4" t="str">
        <f t="shared" si="1260"/>
        <v>12Go Link</v>
      </c>
      <c r="E9918" s="3" t="s">
        <v>8835</v>
      </c>
      <c r="K9918" s="5"/>
    </row>
    <row r="9919">
      <c r="A9919" s="3" t="s">
        <v>8829</v>
      </c>
      <c r="B9919" s="3" t="s">
        <v>8829</v>
      </c>
      <c r="C9919" s="3" t="s">
        <v>8894</v>
      </c>
      <c r="D9919" s="4" t="str">
        <f t="shared" si="1260"/>
        <v>12Go Link</v>
      </c>
      <c r="E9919" s="3" t="s">
        <v>6602</v>
      </c>
      <c r="K9919" s="5"/>
    </row>
    <row r="9920">
      <c r="A9920" s="3" t="s">
        <v>8829</v>
      </c>
      <c r="B9920" s="3" t="s">
        <v>8829</v>
      </c>
      <c r="C9920" s="3" t="s">
        <v>8895</v>
      </c>
      <c r="D9920" s="4" t="str">
        <f t="shared" ref="D9920:D9923" si="1261">HYPERLINK("https://12go.asia/en/travel/Sabiha-Gokcen-Airport/Istanbul-New-Airport", "12Go Link")</f>
        <v>12Go Link</v>
      </c>
      <c r="E9920" s="3" t="s">
        <v>3481</v>
      </c>
      <c r="K9920" s="5"/>
    </row>
    <row r="9921">
      <c r="A9921" s="3" t="s">
        <v>8829</v>
      </c>
      <c r="B9921" s="3" t="s">
        <v>8829</v>
      </c>
      <c r="C9921" s="3" t="s">
        <v>8895</v>
      </c>
      <c r="D9921" s="4" t="str">
        <f t="shared" si="1261"/>
        <v>12Go Link</v>
      </c>
      <c r="E9921" s="3" t="s">
        <v>3196</v>
      </c>
      <c r="K9921" s="5"/>
    </row>
    <row r="9922">
      <c r="A9922" s="3" t="s">
        <v>8829</v>
      </c>
      <c r="B9922" s="3" t="s">
        <v>8829</v>
      </c>
      <c r="C9922" s="3" t="s">
        <v>8895</v>
      </c>
      <c r="D9922" s="4" t="str">
        <f t="shared" si="1261"/>
        <v>12Go Link</v>
      </c>
      <c r="E9922" s="3" t="s">
        <v>7409</v>
      </c>
      <c r="K9922" s="5"/>
    </row>
    <row r="9923">
      <c r="A9923" s="3" t="s">
        <v>8829</v>
      </c>
      <c r="B9923" s="3" t="s">
        <v>8829</v>
      </c>
      <c r="C9923" s="3" t="s">
        <v>8895</v>
      </c>
      <c r="D9923" s="4" t="str">
        <f t="shared" si="1261"/>
        <v>12Go Link</v>
      </c>
      <c r="E9923" s="3" t="s">
        <v>8835</v>
      </c>
      <c r="K9923" s="5"/>
    </row>
    <row r="9924">
      <c r="A9924" s="3" t="s">
        <v>8829</v>
      </c>
      <c r="B9924" s="3" t="s">
        <v>8829</v>
      </c>
      <c r="C9924" s="3" t="s">
        <v>8896</v>
      </c>
      <c r="D9924" s="4" t="str">
        <f t="shared" ref="D9924:D9927" si="1262">HYPERLINK("https://12go.asia/en/travel/Sabiha-Gokcen-Airport/Istanbul-Port", "12Go Link")</f>
        <v>12Go Link</v>
      </c>
      <c r="E9924" s="3" t="s">
        <v>3481</v>
      </c>
      <c r="K9924" s="5"/>
    </row>
    <row r="9925">
      <c r="A9925" s="3" t="s">
        <v>8829</v>
      </c>
      <c r="B9925" s="3" t="s">
        <v>8829</v>
      </c>
      <c r="C9925" s="3" t="s">
        <v>8896</v>
      </c>
      <c r="D9925" s="4" t="str">
        <f t="shared" si="1262"/>
        <v>12Go Link</v>
      </c>
      <c r="E9925" s="3" t="s">
        <v>3196</v>
      </c>
      <c r="K9925" s="5"/>
    </row>
    <row r="9926">
      <c r="A9926" s="3" t="s">
        <v>8829</v>
      </c>
      <c r="B9926" s="3" t="s">
        <v>8829</v>
      </c>
      <c r="C9926" s="3" t="s">
        <v>8896</v>
      </c>
      <c r="D9926" s="4" t="str">
        <f t="shared" si="1262"/>
        <v>12Go Link</v>
      </c>
      <c r="E9926" s="3" t="s">
        <v>7409</v>
      </c>
      <c r="K9926" s="5"/>
    </row>
    <row r="9927">
      <c r="A9927" s="3" t="s">
        <v>8829</v>
      </c>
      <c r="B9927" s="3" t="s">
        <v>8829</v>
      </c>
      <c r="C9927" s="3" t="s">
        <v>8896</v>
      </c>
      <c r="D9927" s="4" t="str">
        <f t="shared" si="1262"/>
        <v>12Go Link</v>
      </c>
      <c r="E9927" s="3" t="s">
        <v>8835</v>
      </c>
      <c r="K9927" s="5"/>
    </row>
    <row r="9928">
      <c r="A9928" s="3" t="s">
        <v>8829</v>
      </c>
      <c r="B9928" s="3" t="s">
        <v>8829</v>
      </c>
      <c r="C9928" s="3" t="s">
        <v>8897</v>
      </c>
      <c r="D9928" s="4" t="str">
        <f t="shared" ref="D9928:D9931" si="1263">HYPERLINK("https://12go.asia/en/travel/Sabiha-Gokcen-Airport/Kadikoy-Hotel-Transfer", "12Go Link")</f>
        <v>12Go Link</v>
      </c>
      <c r="E9928" s="3" t="s">
        <v>3481</v>
      </c>
      <c r="K9928" s="5"/>
    </row>
    <row r="9929">
      <c r="A9929" s="3" t="s">
        <v>8829</v>
      </c>
      <c r="B9929" s="3" t="s">
        <v>8829</v>
      </c>
      <c r="C9929" s="3" t="s">
        <v>8897</v>
      </c>
      <c r="D9929" s="4" t="str">
        <f t="shared" si="1263"/>
        <v>12Go Link</v>
      </c>
      <c r="E9929" s="3" t="s">
        <v>3196</v>
      </c>
      <c r="K9929" s="5"/>
    </row>
    <row r="9930">
      <c r="A9930" s="3" t="s">
        <v>8829</v>
      </c>
      <c r="B9930" s="3" t="s">
        <v>8829</v>
      </c>
      <c r="C9930" s="3" t="s">
        <v>8897</v>
      </c>
      <c r="D9930" s="4" t="str">
        <f t="shared" si="1263"/>
        <v>12Go Link</v>
      </c>
      <c r="E9930" s="3" t="s">
        <v>7409</v>
      </c>
      <c r="K9930" s="5"/>
    </row>
    <row r="9931">
      <c r="A9931" s="3" t="s">
        <v>8829</v>
      </c>
      <c r="B9931" s="3" t="s">
        <v>8829</v>
      </c>
      <c r="C9931" s="3" t="s">
        <v>8897</v>
      </c>
      <c r="D9931" s="4" t="str">
        <f t="shared" si="1263"/>
        <v>12Go Link</v>
      </c>
      <c r="E9931" s="3" t="s">
        <v>8835</v>
      </c>
      <c r="K9931" s="5"/>
    </row>
    <row r="9932">
      <c r="A9932" s="3" t="s">
        <v>8829</v>
      </c>
      <c r="B9932" s="3" t="s">
        <v>8829</v>
      </c>
      <c r="C9932" s="3" t="s">
        <v>8898</v>
      </c>
      <c r="D9932" s="4" t="str">
        <f>HYPERLINK("https://12go.asia/en/travel/Sabiha-Gokcen-Airport/Karakoy-Hotel-Transfer", "12Go Link")</f>
        <v>12Go Link</v>
      </c>
      <c r="E9932" s="3" t="s">
        <v>6602</v>
      </c>
      <c r="K9932" s="5"/>
    </row>
    <row r="9933">
      <c r="A9933" s="3" t="s">
        <v>8829</v>
      </c>
      <c r="B9933" s="3" t="s">
        <v>8829</v>
      </c>
      <c r="C9933" s="3" t="s">
        <v>8899</v>
      </c>
      <c r="D9933" s="4" t="str">
        <f>HYPERLINK("https://12go.asia/en/travel/Sabiha-Gokcen-Airport/Sirkeci-Hotel-Transfer", "12Go Link")</f>
        <v>12Go Link</v>
      </c>
      <c r="E9933" s="3" t="s">
        <v>6602</v>
      </c>
      <c r="K9933" s="5"/>
    </row>
    <row r="9934">
      <c r="A9934" s="3" t="s">
        <v>8829</v>
      </c>
      <c r="B9934" s="3" t="s">
        <v>8829</v>
      </c>
      <c r="C9934" s="3" t="s">
        <v>8900</v>
      </c>
      <c r="D9934" s="4" t="str">
        <f>HYPERLINK("https://12go.asia/en/travel/Sabiha-Gokcen-Airport/Sisli-Hotel-Transfer", "12Go Link")</f>
        <v>12Go Link</v>
      </c>
      <c r="E9934" s="3" t="s">
        <v>6602</v>
      </c>
      <c r="K9934" s="5"/>
    </row>
    <row r="9935">
      <c r="A9935" s="3" t="s">
        <v>8829</v>
      </c>
      <c r="B9935" s="3" t="s">
        <v>8829</v>
      </c>
      <c r="C9935" s="3" t="s">
        <v>8901</v>
      </c>
      <c r="D9935" s="4" t="str">
        <f t="shared" ref="D9935:D9939" si="1264">HYPERLINK("https://12go.asia/en/travel/Sabiha-Gokcen-Airport/Sultanahmet-Hotel-Transfer", "12Go Link")</f>
        <v>12Go Link</v>
      </c>
      <c r="E9935" s="3" t="s">
        <v>3481</v>
      </c>
      <c r="K9935" s="5"/>
    </row>
    <row r="9936">
      <c r="A9936" s="3" t="s">
        <v>8829</v>
      </c>
      <c r="B9936" s="3" t="s">
        <v>8829</v>
      </c>
      <c r="C9936" s="3" t="s">
        <v>8901</v>
      </c>
      <c r="D9936" s="4" t="str">
        <f t="shared" si="1264"/>
        <v>12Go Link</v>
      </c>
      <c r="E9936" s="3" t="s">
        <v>3196</v>
      </c>
      <c r="K9936" s="5"/>
    </row>
    <row r="9937">
      <c r="A9937" s="3" t="s">
        <v>8829</v>
      </c>
      <c r="B9937" s="3" t="s">
        <v>8829</v>
      </c>
      <c r="C9937" s="3" t="s">
        <v>8901</v>
      </c>
      <c r="D9937" s="4" t="str">
        <f t="shared" si="1264"/>
        <v>12Go Link</v>
      </c>
      <c r="E9937" s="3" t="s">
        <v>7409</v>
      </c>
      <c r="K9937" s="5"/>
    </row>
    <row r="9938">
      <c r="A9938" s="3" t="s">
        <v>8829</v>
      </c>
      <c r="B9938" s="3" t="s">
        <v>8829</v>
      </c>
      <c r="C9938" s="3" t="s">
        <v>8901</v>
      </c>
      <c r="D9938" s="4" t="str">
        <f t="shared" si="1264"/>
        <v>12Go Link</v>
      </c>
      <c r="E9938" s="3" t="s">
        <v>8835</v>
      </c>
      <c r="K9938" s="5"/>
    </row>
    <row r="9939">
      <c r="A9939" s="3" t="s">
        <v>8829</v>
      </c>
      <c r="B9939" s="3" t="s">
        <v>8829</v>
      </c>
      <c r="C9939" s="3" t="s">
        <v>8901</v>
      </c>
      <c r="D9939" s="4" t="str">
        <f t="shared" si="1264"/>
        <v>12Go Link</v>
      </c>
      <c r="E9939" s="3" t="s">
        <v>6602</v>
      </c>
      <c r="K9939" s="5"/>
    </row>
    <row r="9940">
      <c r="A9940" s="3" t="s">
        <v>8829</v>
      </c>
      <c r="B9940" s="3" t="s">
        <v>8829</v>
      </c>
      <c r="C9940" s="3" t="s">
        <v>8902</v>
      </c>
      <c r="D9940" s="4" t="str">
        <f t="shared" ref="D9940:D9944" si="1265">HYPERLINK("https://12go.asia/en/travel/Sabiha-Gokcen-Airport/Taksim-Hotel-Transfer", "12Go Link")</f>
        <v>12Go Link</v>
      </c>
      <c r="E9940" s="3" t="s">
        <v>3481</v>
      </c>
      <c r="K9940" s="5"/>
    </row>
    <row r="9941">
      <c r="A9941" s="3" t="s">
        <v>8829</v>
      </c>
      <c r="B9941" s="3" t="s">
        <v>8829</v>
      </c>
      <c r="C9941" s="3" t="s">
        <v>8902</v>
      </c>
      <c r="D9941" s="4" t="str">
        <f t="shared" si="1265"/>
        <v>12Go Link</v>
      </c>
      <c r="E9941" s="3" t="s">
        <v>3196</v>
      </c>
      <c r="K9941" s="5"/>
    </row>
    <row r="9942">
      <c r="A9942" s="3" t="s">
        <v>8829</v>
      </c>
      <c r="B9942" s="3" t="s">
        <v>8829</v>
      </c>
      <c r="C9942" s="3" t="s">
        <v>8902</v>
      </c>
      <c r="D9942" s="4" t="str">
        <f t="shared" si="1265"/>
        <v>12Go Link</v>
      </c>
      <c r="E9942" s="3" t="s">
        <v>7409</v>
      </c>
      <c r="K9942" s="5"/>
    </row>
    <row r="9943">
      <c r="A9943" s="3" t="s">
        <v>8829</v>
      </c>
      <c r="B9943" s="3" t="s">
        <v>8829</v>
      </c>
      <c r="C9943" s="3" t="s">
        <v>8902</v>
      </c>
      <c r="D9943" s="4" t="str">
        <f t="shared" si="1265"/>
        <v>12Go Link</v>
      </c>
      <c r="E9943" s="3" t="s">
        <v>8835</v>
      </c>
      <c r="K9943" s="5"/>
    </row>
    <row r="9944">
      <c r="A9944" s="3" t="s">
        <v>8829</v>
      </c>
      <c r="B9944" s="3" t="s">
        <v>8829</v>
      </c>
      <c r="C9944" s="3" t="s">
        <v>8902</v>
      </c>
      <c r="D9944" s="4" t="str">
        <f t="shared" si="1265"/>
        <v>12Go Link</v>
      </c>
      <c r="E9944" s="3" t="s">
        <v>6602</v>
      </c>
      <c r="K9944" s="5"/>
    </row>
    <row r="9945">
      <c r="A9945" s="3" t="s">
        <v>8829</v>
      </c>
      <c r="B9945" s="3" t="s">
        <v>8829</v>
      </c>
      <c r="C9945" s="3" t="s">
        <v>8903</v>
      </c>
      <c r="D9945" s="4" t="str">
        <f t="shared" ref="D9945:D9948" si="1266">HYPERLINK("https://12go.asia/en/travel/Sabiha-Gokcen-Airport/Uskudar-Hotel-Transfer", "12Go Link")</f>
        <v>12Go Link</v>
      </c>
      <c r="E9945" s="3" t="s">
        <v>3481</v>
      </c>
      <c r="K9945" s="5"/>
    </row>
    <row r="9946">
      <c r="A9946" s="3" t="s">
        <v>8829</v>
      </c>
      <c r="B9946" s="3" t="s">
        <v>8829</v>
      </c>
      <c r="C9946" s="3" t="s">
        <v>8903</v>
      </c>
      <c r="D9946" s="4" t="str">
        <f t="shared" si="1266"/>
        <v>12Go Link</v>
      </c>
      <c r="E9946" s="3" t="s">
        <v>3196</v>
      </c>
      <c r="K9946" s="5"/>
    </row>
    <row r="9947">
      <c r="A9947" s="3" t="s">
        <v>8829</v>
      </c>
      <c r="B9947" s="3" t="s">
        <v>8829</v>
      </c>
      <c r="C9947" s="3" t="s">
        <v>8903</v>
      </c>
      <c r="D9947" s="4" t="str">
        <f t="shared" si="1266"/>
        <v>12Go Link</v>
      </c>
      <c r="E9947" s="3" t="s">
        <v>7409</v>
      </c>
      <c r="K9947" s="5"/>
    </row>
    <row r="9948">
      <c r="A9948" s="3" t="s">
        <v>8829</v>
      </c>
      <c r="B9948" s="3" t="s">
        <v>8829</v>
      </c>
      <c r="C9948" s="3" t="s">
        <v>8903</v>
      </c>
      <c r="D9948" s="4" t="str">
        <f t="shared" si="1266"/>
        <v>12Go Link</v>
      </c>
      <c r="E9948" s="3" t="s">
        <v>8835</v>
      </c>
      <c r="K9948" s="5"/>
    </row>
    <row r="9949">
      <c r="A9949" s="3" t="s">
        <v>8829</v>
      </c>
      <c r="B9949" s="3" t="s">
        <v>8829</v>
      </c>
      <c r="C9949" s="3" t="s">
        <v>8904</v>
      </c>
      <c r="D9949" s="4" t="str">
        <f t="shared" ref="D9949:D9953" si="1267">HYPERLINK("https://12go.asia/en/travel/Sirkeci-Hotel-Transfer/Istanbul-New-Airport", "12Go Link")</f>
        <v>12Go Link</v>
      </c>
      <c r="E9949" s="3" t="s">
        <v>3481</v>
      </c>
      <c r="K9949" s="5"/>
    </row>
    <row r="9950">
      <c r="A9950" s="3" t="s">
        <v>8829</v>
      </c>
      <c r="B9950" s="3" t="s">
        <v>8829</v>
      </c>
      <c r="C9950" s="3" t="s">
        <v>8904</v>
      </c>
      <c r="D9950" s="4" t="str">
        <f t="shared" si="1267"/>
        <v>12Go Link</v>
      </c>
      <c r="E9950" s="3" t="s">
        <v>3196</v>
      </c>
      <c r="K9950" s="5"/>
    </row>
    <row r="9951">
      <c r="A9951" s="3" t="s">
        <v>8829</v>
      </c>
      <c r="B9951" s="3" t="s">
        <v>8829</v>
      </c>
      <c r="C9951" s="3" t="s">
        <v>8904</v>
      </c>
      <c r="D9951" s="4" t="str">
        <f t="shared" si="1267"/>
        <v>12Go Link</v>
      </c>
      <c r="E9951" s="3" t="s">
        <v>7409</v>
      </c>
      <c r="K9951" s="5"/>
    </row>
    <row r="9952">
      <c r="A9952" s="3" t="s">
        <v>8829</v>
      </c>
      <c r="B9952" s="3" t="s">
        <v>8829</v>
      </c>
      <c r="C9952" s="3" t="s">
        <v>8904</v>
      </c>
      <c r="D9952" s="4" t="str">
        <f t="shared" si="1267"/>
        <v>12Go Link</v>
      </c>
      <c r="E9952" s="3" t="s">
        <v>8835</v>
      </c>
      <c r="K9952" s="5"/>
    </row>
    <row r="9953">
      <c r="A9953" s="3" t="s">
        <v>8829</v>
      </c>
      <c r="B9953" s="3" t="s">
        <v>8829</v>
      </c>
      <c r="C9953" s="3" t="s">
        <v>8904</v>
      </c>
      <c r="D9953" s="4" t="str">
        <f t="shared" si="1267"/>
        <v>12Go Link</v>
      </c>
      <c r="E9953" s="3" t="s">
        <v>6602</v>
      </c>
      <c r="K9953" s="5"/>
    </row>
    <row r="9954">
      <c r="A9954" s="3" t="s">
        <v>8829</v>
      </c>
      <c r="B9954" s="3" t="s">
        <v>8829</v>
      </c>
      <c r="C9954" s="3" t="s">
        <v>8905</v>
      </c>
      <c r="D9954" s="4" t="str">
        <f>HYPERLINK("https://12go.asia/en/travel/Sirkeci-Hotel-Transfer/Istanbul-Port", "12Go Link")</f>
        <v>12Go Link</v>
      </c>
      <c r="E9954" s="3" t="s">
        <v>6602</v>
      </c>
      <c r="K9954" s="5"/>
    </row>
    <row r="9955">
      <c r="A9955" s="3" t="s">
        <v>8829</v>
      </c>
      <c r="B9955" s="3" t="s">
        <v>8829</v>
      </c>
      <c r="C9955" s="3" t="s">
        <v>8906</v>
      </c>
      <c r="D9955" s="4" t="str">
        <f>HYPERLINK("https://12go.asia/en/travel/Sirkeci-Hotel-Transfer/Sabiha-Gokcen-Airport", "12Go Link")</f>
        <v>12Go Link</v>
      </c>
      <c r="E9955" s="3" t="s">
        <v>6602</v>
      </c>
      <c r="K9955" s="5"/>
    </row>
    <row r="9956">
      <c r="A9956" s="3" t="s">
        <v>8829</v>
      </c>
      <c r="B9956" s="3" t="s">
        <v>8829</v>
      </c>
      <c r="C9956" s="3" t="s">
        <v>8907</v>
      </c>
      <c r="D9956" s="4" t="str">
        <f t="shared" ref="D9956:D9960" si="1268">HYPERLINK("https://12go.asia/en/travel/Sisli-Hotel-Transfer/Istanbul-New-Airport", "12Go Link")</f>
        <v>12Go Link</v>
      </c>
      <c r="E9956" s="3" t="s">
        <v>3481</v>
      </c>
      <c r="K9956" s="5"/>
    </row>
    <row r="9957">
      <c r="A9957" s="3" t="s">
        <v>8829</v>
      </c>
      <c r="B9957" s="3" t="s">
        <v>8829</v>
      </c>
      <c r="C9957" s="3" t="s">
        <v>8907</v>
      </c>
      <c r="D9957" s="4" t="str">
        <f t="shared" si="1268"/>
        <v>12Go Link</v>
      </c>
      <c r="E9957" s="3" t="s">
        <v>3196</v>
      </c>
      <c r="K9957" s="5"/>
    </row>
    <row r="9958">
      <c r="A9958" s="3" t="s">
        <v>8829</v>
      </c>
      <c r="B9958" s="3" t="s">
        <v>8829</v>
      </c>
      <c r="C9958" s="3" t="s">
        <v>8907</v>
      </c>
      <c r="D9958" s="4" t="str">
        <f t="shared" si="1268"/>
        <v>12Go Link</v>
      </c>
      <c r="E9958" s="3" t="s">
        <v>7409</v>
      </c>
      <c r="K9958" s="5"/>
    </row>
    <row r="9959">
      <c r="A9959" s="3" t="s">
        <v>8829</v>
      </c>
      <c r="B9959" s="3" t="s">
        <v>8829</v>
      </c>
      <c r="C9959" s="3" t="s">
        <v>8907</v>
      </c>
      <c r="D9959" s="4" t="str">
        <f t="shared" si="1268"/>
        <v>12Go Link</v>
      </c>
      <c r="E9959" s="3" t="s">
        <v>8835</v>
      </c>
      <c r="K9959" s="5"/>
    </row>
    <row r="9960">
      <c r="A9960" s="3" t="s">
        <v>8829</v>
      </c>
      <c r="B9960" s="3" t="s">
        <v>8829</v>
      </c>
      <c r="C9960" s="3" t="s">
        <v>8907</v>
      </c>
      <c r="D9960" s="4" t="str">
        <f t="shared" si="1268"/>
        <v>12Go Link</v>
      </c>
      <c r="E9960" s="3" t="s">
        <v>6602</v>
      </c>
      <c r="K9960" s="5"/>
    </row>
    <row r="9961">
      <c r="A9961" s="3" t="s">
        <v>8829</v>
      </c>
      <c r="B9961" s="3" t="s">
        <v>8829</v>
      </c>
      <c r="C9961" s="3" t="s">
        <v>8908</v>
      </c>
      <c r="D9961" s="4" t="str">
        <f>HYPERLINK("https://12go.asia/en/travel/Sisli-Hotel-Transfer/Istanbul-Port", "12Go Link")</f>
        <v>12Go Link</v>
      </c>
      <c r="E9961" s="3" t="s">
        <v>6602</v>
      </c>
      <c r="K9961" s="5"/>
    </row>
    <row r="9962">
      <c r="A9962" s="3" t="s">
        <v>8829</v>
      </c>
      <c r="B9962" s="3" t="s">
        <v>8829</v>
      </c>
      <c r="C9962" s="3" t="s">
        <v>8909</v>
      </c>
      <c r="D9962" s="4" t="str">
        <f>HYPERLINK("https://12go.asia/en/travel/Sisli-Hotel-Transfer/Sabiha-Gokcen-Airport", "12Go Link")</f>
        <v>12Go Link</v>
      </c>
      <c r="E9962" s="3" t="s">
        <v>6602</v>
      </c>
      <c r="K9962" s="5"/>
    </row>
    <row r="9963">
      <c r="A9963" s="3" t="s">
        <v>8829</v>
      </c>
      <c r="B9963" s="3" t="s">
        <v>8829</v>
      </c>
      <c r="C9963" s="3" t="s">
        <v>8910</v>
      </c>
      <c r="D9963" s="4" t="str">
        <f t="shared" ref="D9963:D9967" si="1269">HYPERLINK("https://12go.asia/en/travel/Sultanahmet-Hotel-Transfer/Istanbul-New-Airport", "12Go Link")</f>
        <v>12Go Link</v>
      </c>
      <c r="E9963" s="3" t="s">
        <v>3481</v>
      </c>
      <c r="K9963" s="5"/>
    </row>
    <row r="9964">
      <c r="A9964" s="3" t="s">
        <v>8829</v>
      </c>
      <c r="B9964" s="3" t="s">
        <v>8829</v>
      </c>
      <c r="C9964" s="3" t="s">
        <v>8910</v>
      </c>
      <c r="D9964" s="4" t="str">
        <f t="shared" si="1269"/>
        <v>12Go Link</v>
      </c>
      <c r="E9964" s="3" t="s">
        <v>3196</v>
      </c>
      <c r="K9964" s="5"/>
    </row>
    <row r="9965">
      <c r="A9965" s="3" t="s">
        <v>8829</v>
      </c>
      <c r="B9965" s="3" t="s">
        <v>8829</v>
      </c>
      <c r="C9965" s="3" t="s">
        <v>8910</v>
      </c>
      <c r="D9965" s="4" t="str">
        <f t="shared" si="1269"/>
        <v>12Go Link</v>
      </c>
      <c r="E9965" s="3" t="s">
        <v>7409</v>
      </c>
      <c r="K9965" s="5"/>
    </row>
    <row r="9966">
      <c r="A9966" s="3" t="s">
        <v>8829</v>
      </c>
      <c r="B9966" s="3" t="s">
        <v>8829</v>
      </c>
      <c r="C9966" s="3" t="s">
        <v>8910</v>
      </c>
      <c r="D9966" s="4" t="str">
        <f t="shared" si="1269"/>
        <v>12Go Link</v>
      </c>
      <c r="E9966" s="3" t="s">
        <v>8835</v>
      </c>
      <c r="K9966" s="5"/>
    </row>
    <row r="9967">
      <c r="A9967" s="3" t="s">
        <v>8829</v>
      </c>
      <c r="B9967" s="3" t="s">
        <v>8829</v>
      </c>
      <c r="C9967" s="3" t="s">
        <v>8910</v>
      </c>
      <c r="D9967" s="4" t="str">
        <f t="shared" si="1269"/>
        <v>12Go Link</v>
      </c>
      <c r="E9967" s="3" t="s">
        <v>6602</v>
      </c>
      <c r="K9967" s="5"/>
    </row>
    <row r="9968">
      <c r="A9968" s="3" t="s">
        <v>8829</v>
      </c>
      <c r="B9968" s="3" t="s">
        <v>8829</v>
      </c>
      <c r="C9968" s="3" t="s">
        <v>8911</v>
      </c>
      <c r="D9968" s="4" t="str">
        <f>HYPERLINK("https://12go.asia/en/travel/Sultanahmet-Hotel-Transfer/Istanbul-Port", "12Go Link")</f>
        <v>12Go Link</v>
      </c>
      <c r="E9968" s="3" t="s">
        <v>6602</v>
      </c>
      <c r="K9968" s="5"/>
    </row>
    <row r="9969">
      <c r="A9969" s="3" t="s">
        <v>8829</v>
      </c>
      <c r="B9969" s="3" t="s">
        <v>8829</v>
      </c>
      <c r="C9969" s="3" t="s">
        <v>8912</v>
      </c>
      <c r="D9969" s="4" t="str">
        <f t="shared" ref="D9969:D9973" si="1270">HYPERLINK("https://12go.asia/en/travel/Sultanahmet-Hotel-Transfer/Sabiha-Gokcen-Airport", "12Go Link")</f>
        <v>12Go Link</v>
      </c>
      <c r="E9969" s="3" t="s">
        <v>3481</v>
      </c>
      <c r="K9969" s="5"/>
    </row>
    <row r="9970">
      <c r="A9970" s="3" t="s">
        <v>8829</v>
      </c>
      <c r="B9970" s="3" t="s">
        <v>8829</v>
      </c>
      <c r="C9970" s="3" t="s">
        <v>8912</v>
      </c>
      <c r="D9970" s="4" t="str">
        <f t="shared" si="1270"/>
        <v>12Go Link</v>
      </c>
      <c r="E9970" s="3" t="s">
        <v>3196</v>
      </c>
      <c r="K9970" s="5"/>
    </row>
    <row r="9971">
      <c r="A9971" s="3" t="s">
        <v>8829</v>
      </c>
      <c r="B9971" s="3" t="s">
        <v>8829</v>
      </c>
      <c r="C9971" s="3" t="s">
        <v>8912</v>
      </c>
      <c r="D9971" s="4" t="str">
        <f t="shared" si="1270"/>
        <v>12Go Link</v>
      </c>
      <c r="E9971" s="3" t="s">
        <v>7409</v>
      </c>
      <c r="K9971" s="5"/>
    </row>
    <row r="9972">
      <c r="A9972" s="3" t="s">
        <v>8829</v>
      </c>
      <c r="B9972" s="3" t="s">
        <v>8829</v>
      </c>
      <c r="C9972" s="3" t="s">
        <v>8912</v>
      </c>
      <c r="D9972" s="4" t="str">
        <f t="shared" si="1270"/>
        <v>12Go Link</v>
      </c>
      <c r="E9972" s="3" t="s">
        <v>8835</v>
      </c>
      <c r="K9972" s="5"/>
    </row>
    <row r="9973">
      <c r="A9973" s="3" t="s">
        <v>8829</v>
      </c>
      <c r="B9973" s="3" t="s">
        <v>8829</v>
      </c>
      <c r="C9973" s="3" t="s">
        <v>8912</v>
      </c>
      <c r="D9973" s="4" t="str">
        <f t="shared" si="1270"/>
        <v>12Go Link</v>
      </c>
      <c r="E9973" s="3" t="s">
        <v>6602</v>
      </c>
      <c r="K9973" s="5"/>
    </row>
    <row r="9974">
      <c r="A9974" s="3" t="s">
        <v>8829</v>
      </c>
      <c r="B9974" s="3" t="s">
        <v>8829</v>
      </c>
      <c r="C9974" s="3" t="s">
        <v>8913</v>
      </c>
      <c r="D9974" s="4" t="str">
        <f t="shared" ref="D9974:D9978" si="1271">HYPERLINK("https://12go.asia/en/travel/Taksim-Hotel-Transfer/Istanbul-New-Airport", "12Go Link")</f>
        <v>12Go Link</v>
      </c>
      <c r="E9974" s="3" t="s">
        <v>3481</v>
      </c>
      <c r="K9974" s="5"/>
    </row>
    <row r="9975">
      <c r="A9975" s="3" t="s">
        <v>8829</v>
      </c>
      <c r="B9975" s="3" t="s">
        <v>8829</v>
      </c>
      <c r="C9975" s="3" t="s">
        <v>8913</v>
      </c>
      <c r="D9975" s="4" t="str">
        <f t="shared" si="1271"/>
        <v>12Go Link</v>
      </c>
      <c r="E9975" s="3" t="s">
        <v>3196</v>
      </c>
      <c r="K9975" s="5"/>
    </row>
    <row r="9976">
      <c r="A9976" s="3" t="s">
        <v>8829</v>
      </c>
      <c r="B9976" s="3" t="s">
        <v>8829</v>
      </c>
      <c r="C9976" s="3" t="s">
        <v>8913</v>
      </c>
      <c r="D9976" s="4" t="str">
        <f t="shared" si="1271"/>
        <v>12Go Link</v>
      </c>
      <c r="E9976" s="3" t="s">
        <v>7409</v>
      </c>
      <c r="K9976" s="5"/>
    </row>
    <row r="9977">
      <c r="A9977" s="3" t="s">
        <v>8829</v>
      </c>
      <c r="B9977" s="3" t="s">
        <v>8829</v>
      </c>
      <c r="C9977" s="3" t="s">
        <v>8913</v>
      </c>
      <c r="D9977" s="4" t="str">
        <f t="shared" si="1271"/>
        <v>12Go Link</v>
      </c>
      <c r="E9977" s="3" t="s">
        <v>8835</v>
      </c>
      <c r="K9977" s="5"/>
    </row>
    <row r="9978">
      <c r="A9978" s="3" t="s">
        <v>8829</v>
      </c>
      <c r="B9978" s="3" t="s">
        <v>8829</v>
      </c>
      <c r="C9978" s="3" t="s">
        <v>8913</v>
      </c>
      <c r="D9978" s="4" t="str">
        <f t="shared" si="1271"/>
        <v>12Go Link</v>
      </c>
      <c r="E9978" s="3" t="s">
        <v>6602</v>
      </c>
      <c r="K9978" s="5"/>
    </row>
    <row r="9979">
      <c r="A9979" s="3" t="s">
        <v>8829</v>
      </c>
      <c r="B9979" s="3" t="s">
        <v>8829</v>
      </c>
      <c r="C9979" s="3" t="s">
        <v>8914</v>
      </c>
      <c r="D9979" s="4" t="str">
        <f>HYPERLINK("https://12go.asia/en/travel/Taksim-Hotel-Transfer/Istanbul-Port", "12Go Link")</f>
        <v>12Go Link</v>
      </c>
      <c r="E9979" s="3" t="s">
        <v>6602</v>
      </c>
      <c r="K9979" s="5"/>
    </row>
    <row r="9980">
      <c r="A9980" s="3" t="s">
        <v>8829</v>
      </c>
      <c r="B9980" s="3" t="s">
        <v>8829</v>
      </c>
      <c r="C9980" s="3" t="s">
        <v>8915</v>
      </c>
      <c r="D9980" s="4" t="str">
        <f t="shared" ref="D9980:D9984" si="1272">HYPERLINK("https://12go.asia/en/travel/Taksim-Hotel-Transfer/Sabiha-Gokcen-Airport", "12Go Link")</f>
        <v>12Go Link</v>
      </c>
      <c r="E9980" s="3" t="s">
        <v>3481</v>
      </c>
      <c r="K9980" s="5"/>
    </row>
    <row r="9981">
      <c r="A9981" s="3" t="s">
        <v>8829</v>
      </c>
      <c r="B9981" s="3" t="s">
        <v>8829</v>
      </c>
      <c r="C9981" s="3" t="s">
        <v>8915</v>
      </c>
      <c r="D9981" s="4" t="str">
        <f t="shared" si="1272"/>
        <v>12Go Link</v>
      </c>
      <c r="E9981" s="3" t="s">
        <v>3196</v>
      </c>
      <c r="K9981" s="5"/>
    </row>
    <row r="9982">
      <c r="A9982" s="3" t="s">
        <v>8829</v>
      </c>
      <c r="B9982" s="3" t="s">
        <v>8829</v>
      </c>
      <c r="C9982" s="3" t="s">
        <v>8915</v>
      </c>
      <c r="D9982" s="4" t="str">
        <f t="shared" si="1272"/>
        <v>12Go Link</v>
      </c>
      <c r="E9982" s="3" t="s">
        <v>7409</v>
      </c>
      <c r="K9982" s="5"/>
    </row>
    <row r="9983">
      <c r="A9983" s="3" t="s">
        <v>8829</v>
      </c>
      <c r="B9983" s="3" t="s">
        <v>8829</v>
      </c>
      <c r="C9983" s="3" t="s">
        <v>8915</v>
      </c>
      <c r="D9983" s="4" t="str">
        <f t="shared" si="1272"/>
        <v>12Go Link</v>
      </c>
      <c r="E9983" s="3" t="s">
        <v>8835</v>
      </c>
      <c r="K9983" s="5"/>
    </row>
    <row r="9984">
      <c r="A9984" s="3" t="s">
        <v>8829</v>
      </c>
      <c r="B9984" s="3" t="s">
        <v>8829</v>
      </c>
      <c r="C9984" s="3" t="s">
        <v>8915</v>
      </c>
      <c r="D9984" s="4" t="str">
        <f t="shared" si="1272"/>
        <v>12Go Link</v>
      </c>
      <c r="E9984" s="3" t="s">
        <v>6602</v>
      </c>
      <c r="K9984" s="5"/>
    </row>
    <row r="9985">
      <c r="A9985" s="3" t="s">
        <v>8829</v>
      </c>
      <c r="B9985" s="3" t="s">
        <v>8829</v>
      </c>
      <c r="C9985" s="3" t="s">
        <v>8916</v>
      </c>
      <c r="D9985" s="4" t="str">
        <f t="shared" ref="D9985:D9988" si="1273">HYPERLINK("https://12go.asia/en/travel/Umraniye-Hotel-Transfer/Istanbul-New-Airport", "12Go Link")</f>
        <v>12Go Link</v>
      </c>
      <c r="E9985" s="3" t="s">
        <v>3481</v>
      </c>
      <c r="K9985" s="5"/>
    </row>
    <row r="9986">
      <c r="A9986" s="3" t="s">
        <v>8829</v>
      </c>
      <c r="B9986" s="3" t="s">
        <v>8829</v>
      </c>
      <c r="C9986" s="3" t="s">
        <v>8916</v>
      </c>
      <c r="D9986" s="4" t="str">
        <f t="shared" si="1273"/>
        <v>12Go Link</v>
      </c>
      <c r="E9986" s="3" t="s">
        <v>3196</v>
      </c>
      <c r="K9986" s="5"/>
    </row>
    <row r="9987">
      <c r="A9987" s="3" t="s">
        <v>8829</v>
      </c>
      <c r="B9987" s="3" t="s">
        <v>8829</v>
      </c>
      <c r="C9987" s="3" t="s">
        <v>8916</v>
      </c>
      <c r="D9987" s="4" t="str">
        <f t="shared" si="1273"/>
        <v>12Go Link</v>
      </c>
      <c r="E9987" s="3" t="s">
        <v>7409</v>
      </c>
      <c r="K9987" s="5"/>
    </row>
    <row r="9988">
      <c r="A9988" s="3" t="s">
        <v>8829</v>
      </c>
      <c r="B9988" s="3" t="s">
        <v>8829</v>
      </c>
      <c r="C9988" s="3" t="s">
        <v>8916</v>
      </c>
      <c r="D9988" s="4" t="str">
        <f t="shared" si="1273"/>
        <v>12Go Link</v>
      </c>
      <c r="E9988" s="3" t="s">
        <v>8835</v>
      </c>
      <c r="K9988" s="5"/>
    </row>
    <row r="9989">
      <c r="A9989" s="3" t="s">
        <v>8829</v>
      </c>
      <c r="B9989" s="3" t="s">
        <v>8829</v>
      </c>
      <c r="C9989" s="3" t="s">
        <v>8917</v>
      </c>
      <c r="D9989" s="4" t="str">
        <f t="shared" ref="D9989:D9992" si="1274">HYPERLINK("https://12go.asia/en/travel/Uskudar-Hotel-Transfer/Istanbul-New-Airport", "12Go Link")</f>
        <v>12Go Link</v>
      </c>
      <c r="E9989" s="3" t="s">
        <v>3481</v>
      </c>
      <c r="K9989" s="5"/>
    </row>
    <row r="9990">
      <c r="A9990" s="3" t="s">
        <v>8829</v>
      </c>
      <c r="B9990" s="3" t="s">
        <v>8829</v>
      </c>
      <c r="C9990" s="3" t="s">
        <v>8917</v>
      </c>
      <c r="D9990" s="4" t="str">
        <f t="shared" si="1274"/>
        <v>12Go Link</v>
      </c>
      <c r="E9990" s="3" t="s">
        <v>3196</v>
      </c>
      <c r="K9990" s="5"/>
    </row>
    <row r="9991">
      <c r="A9991" s="3" t="s">
        <v>8829</v>
      </c>
      <c r="B9991" s="3" t="s">
        <v>8829</v>
      </c>
      <c r="C9991" s="3" t="s">
        <v>8917</v>
      </c>
      <c r="D9991" s="4" t="str">
        <f t="shared" si="1274"/>
        <v>12Go Link</v>
      </c>
      <c r="E9991" s="3" t="s">
        <v>7409</v>
      </c>
      <c r="K9991" s="5"/>
    </row>
    <row r="9992">
      <c r="A9992" s="3" t="s">
        <v>8829</v>
      </c>
      <c r="B9992" s="3" t="s">
        <v>8829</v>
      </c>
      <c r="C9992" s="3" t="s">
        <v>8917</v>
      </c>
      <c r="D9992" s="4" t="str">
        <f t="shared" si="1274"/>
        <v>12Go Link</v>
      </c>
      <c r="E9992" s="3" t="s">
        <v>8835</v>
      </c>
      <c r="K9992" s="5"/>
    </row>
    <row r="9993">
      <c r="A9993" s="3" t="s">
        <v>8829</v>
      </c>
      <c r="B9993" s="3" t="s">
        <v>8829</v>
      </c>
      <c r="C9993" s="3" t="s">
        <v>8918</v>
      </c>
      <c r="D9993" s="4" t="str">
        <f t="shared" ref="D9993:D9996" si="1275">HYPERLINK("https://12go.asia/en/travel/Uskudar-Hotel-Transfer/Sabiha-Gokcen-Airport", "12Go Link")</f>
        <v>12Go Link</v>
      </c>
      <c r="E9993" s="3" t="s">
        <v>3481</v>
      </c>
      <c r="K9993" s="5"/>
    </row>
    <row r="9994">
      <c r="A9994" s="3" t="s">
        <v>8829</v>
      </c>
      <c r="B9994" s="3" t="s">
        <v>8829</v>
      </c>
      <c r="C9994" s="3" t="s">
        <v>8918</v>
      </c>
      <c r="D9994" s="4" t="str">
        <f t="shared" si="1275"/>
        <v>12Go Link</v>
      </c>
      <c r="E9994" s="3" t="s">
        <v>3196</v>
      </c>
      <c r="K9994" s="5"/>
    </row>
    <row r="9995">
      <c r="A9995" s="3" t="s">
        <v>8829</v>
      </c>
      <c r="B9995" s="3" t="s">
        <v>8829</v>
      </c>
      <c r="C9995" s="3" t="s">
        <v>8918</v>
      </c>
      <c r="D9995" s="4" t="str">
        <f t="shared" si="1275"/>
        <v>12Go Link</v>
      </c>
      <c r="E9995" s="3" t="s">
        <v>7409</v>
      </c>
      <c r="K9995" s="5"/>
    </row>
    <row r="9996">
      <c r="A9996" s="3" t="s">
        <v>8829</v>
      </c>
      <c r="B9996" s="3" t="s">
        <v>8829</v>
      </c>
      <c r="C9996" s="3" t="s">
        <v>8918</v>
      </c>
      <c r="D9996" s="4" t="str">
        <f t="shared" si="1275"/>
        <v>12Go Link</v>
      </c>
      <c r="E9996" s="3" t="s">
        <v>8835</v>
      </c>
      <c r="K9996" s="5"/>
    </row>
    <row r="9997">
      <c r="A9997" s="3" t="s">
        <v>8829</v>
      </c>
      <c r="B9997" s="3" t="s">
        <v>8581</v>
      </c>
      <c r="C9997" s="3" t="s">
        <v>8919</v>
      </c>
      <c r="D9997" s="4" t="str">
        <f t="shared" ref="D9997:D9998" si="1276">HYPERLINK("https://12go.asia/en/travel/Istanbul-Hotel-Transfer/Nevsehir-Hotel-Transfer", "12Go Link")</f>
        <v>12Go Link</v>
      </c>
      <c r="E9997" s="3" t="s">
        <v>8568</v>
      </c>
      <c r="K9997" s="5"/>
    </row>
    <row r="9998">
      <c r="A9998" s="3" t="s">
        <v>8829</v>
      </c>
      <c r="B9998" s="3" t="s">
        <v>8581</v>
      </c>
      <c r="C9998" s="3" t="s">
        <v>8919</v>
      </c>
      <c r="D9998" s="4" t="str">
        <f t="shared" si="1276"/>
        <v>12Go Link</v>
      </c>
      <c r="E9998" s="3" t="s">
        <v>228</v>
      </c>
      <c r="K9998" s="5"/>
    </row>
    <row r="9999">
      <c r="A9999" s="3" t="s">
        <v>8829</v>
      </c>
      <c r="B9999" s="3" t="s">
        <v>8584</v>
      </c>
      <c r="C9999" s="3" t="s">
        <v>8920</v>
      </c>
      <c r="D9999" s="4" t="str">
        <f t="shared" ref="D9999:D10000" si="1277">HYPERLINK("https://12go.asia/en/travel/Istanbul-Hotel-Transfer/Ortahisar-Hotel-Transfer", "12Go Link")</f>
        <v>12Go Link</v>
      </c>
      <c r="E9999" s="3" t="s">
        <v>8568</v>
      </c>
      <c r="K9999" s="5"/>
    </row>
    <row r="10000">
      <c r="A10000" s="3" t="s">
        <v>8829</v>
      </c>
      <c r="B10000" s="3" t="s">
        <v>8584</v>
      </c>
      <c r="C10000" s="3" t="s">
        <v>8920</v>
      </c>
      <c r="D10000" s="4" t="str">
        <f t="shared" si="1277"/>
        <v>12Go Link</v>
      </c>
      <c r="E10000" s="3" t="s">
        <v>228</v>
      </c>
      <c r="K10000" s="5"/>
    </row>
    <row r="10001">
      <c r="A10001" s="3" t="s">
        <v>8829</v>
      </c>
      <c r="B10001" s="3" t="s">
        <v>8587</v>
      </c>
      <c r="C10001" s="3" t="s">
        <v>8921</v>
      </c>
      <c r="D10001" s="4" t="str">
        <f t="shared" ref="D10001:D10002" si="1278">HYPERLINK("https://12go.asia/en/travel/Istanbul-Hotel-Transfer/Uchisar-Hotel-Transfer", "12Go Link")</f>
        <v>12Go Link</v>
      </c>
      <c r="E10001" s="3" t="s">
        <v>8568</v>
      </c>
      <c r="K10001" s="5"/>
    </row>
    <row r="10002">
      <c r="A10002" s="3" t="s">
        <v>8829</v>
      </c>
      <c r="B10002" s="3" t="s">
        <v>8587</v>
      </c>
      <c r="C10002" s="3" t="s">
        <v>8921</v>
      </c>
      <c r="D10002" s="4" t="str">
        <f t="shared" si="1278"/>
        <v>12Go Link</v>
      </c>
      <c r="E10002" s="3" t="s">
        <v>228</v>
      </c>
      <c r="K10002" s="5"/>
    </row>
    <row r="10003">
      <c r="A10003" s="3" t="s">
        <v>8829</v>
      </c>
      <c r="B10003" s="3" t="s">
        <v>8590</v>
      </c>
      <c r="C10003" s="3" t="s">
        <v>8922</v>
      </c>
      <c r="D10003" s="4" t="str">
        <f t="shared" ref="D10003:D10004" si="1279">HYPERLINK("https://12go.asia/en/travel/Istanbul-Hotel-Transfer/Urgup-Hotel-Transfer", "12Go Link")</f>
        <v>12Go Link</v>
      </c>
      <c r="E10003" s="3" t="s">
        <v>8568</v>
      </c>
      <c r="K10003" s="5"/>
    </row>
    <row r="10004">
      <c r="A10004" s="3" t="s">
        <v>8829</v>
      </c>
      <c r="B10004" s="3" t="s">
        <v>8590</v>
      </c>
      <c r="C10004" s="3" t="s">
        <v>8922</v>
      </c>
      <c r="D10004" s="4" t="str">
        <f t="shared" si="1279"/>
        <v>12Go Link</v>
      </c>
      <c r="E10004" s="3" t="s">
        <v>228</v>
      </c>
      <c r="K10004" s="5"/>
    </row>
    <row r="10005">
      <c r="A10005" s="3" t="s">
        <v>8594</v>
      </c>
      <c r="B10005" s="3" t="s">
        <v>8593</v>
      </c>
      <c r="C10005" s="3" t="s">
        <v>8923</v>
      </c>
      <c r="D10005" s="4" t="str">
        <f t="shared" ref="D10005:D10007" si="1280">HYPERLINK("https://12go.asia/en/travel/Adnan-Menderes-Airport/Akbuk-Hotel-Transfer", "12Go Link")</f>
        <v>12Go Link</v>
      </c>
      <c r="E10005" s="3" t="s">
        <v>3196</v>
      </c>
      <c r="K10005" s="5"/>
    </row>
    <row r="10006">
      <c r="A10006" s="3" t="s">
        <v>8594</v>
      </c>
      <c r="B10006" s="3" t="s">
        <v>8593</v>
      </c>
      <c r="C10006" s="3" t="s">
        <v>8923</v>
      </c>
      <c r="D10006" s="4" t="str">
        <f t="shared" si="1280"/>
        <v>12Go Link</v>
      </c>
      <c r="E10006" s="3" t="s">
        <v>226</v>
      </c>
      <c r="K10006" s="5"/>
    </row>
    <row r="10007">
      <c r="A10007" s="3" t="s">
        <v>8594</v>
      </c>
      <c r="B10007" s="3" t="s">
        <v>8593</v>
      </c>
      <c r="C10007" s="3" t="s">
        <v>8923</v>
      </c>
      <c r="D10007" s="4" t="str">
        <f t="shared" si="1280"/>
        <v>12Go Link</v>
      </c>
      <c r="E10007" s="3" t="s">
        <v>3203</v>
      </c>
      <c r="K10007" s="5"/>
    </row>
    <row r="10008">
      <c r="A10008" s="3" t="s">
        <v>8594</v>
      </c>
      <c r="B10008" s="3" t="s">
        <v>8596</v>
      </c>
      <c r="C10008" s="3" t="s">
        <v>8924</v>
      </c>
      <c r="D10008" s="4" t="str">
        <f t="shared" ref="D10008:D10010" si="1281">HYPERLINK("https://12go.asia/en/travel/Adnan-Menderes-Airport/Akcay-Hotel-Transfer", "12Go Link")</f>
        <v>12Go Link</v>
      </c>
      <c r="E10008" s="3" t="s">
        <v>3196</v>
      </c>
      <c r="K10008" s="5"/>
    </row>
    <row r="10009">
      <c r="A10009" s="3" t="s">
        <v>8594</v>
      </c>
      <c r="B10009" s="3" t="s">
        <v>8596</v>
      </c>
      <c r="C10009" s="3" t="s">
        <v>8924</v>
      </c>
      <c r="D10009" s="4" t="str">
        <f t="shared" si="1281"/>
        <v>12Go Link</v>
      </c>
      <c r="E10009" s="3" t="s">
        <v>226</v>
      </c>
      <c r="K10009" s="5"/>
    </row>
    <row r="10010">
      <c r="A10010" s="3" t="s">
        <v>8594</v>
      </c>
      <c r="B10010" s="3" t="s">
        <v>8596</v>
      </c>
      <c r="C10010" s="3" t="s">
        <v>8924</v>
      </c>
      <c r="D10010" s="4" t="str">
        <f t="shared" si="1281"/>
        <v>12Go Link</v>
      </c>
      <c r="E10010" s="3" t="s">
        <v>3203</v>
      </c>
      <c r="K10010" s="5"/>
    </row>
    <row r="10011">
      <c r="A10011" s="3" t="s">
        <v>8594</v>
      </c>
      <c r="B10011" s="3" t="s">
        <v>8598</v>
      </c>
      <c r="C10011" s="3" t="s">
        <v>8925</v>
      </c>
      <c r="D10011" s="4" t="str">
        <f t="shared" ref="D10011:D10013" si="1282">HYPERLINK("https://12go.asia/en/travel/Adnan-Menderes-Airport/Alacati-Hotel-Transfer", "12Go Link")</f>
        <v>12Go Link</v>
      </c>
      <c r="E10011" s="3" t="s">
        <v>3196</v>
      </c>
      <c r="K10011" s="5"/>
    </row>
    <row r="10012">
      <c r="A10012" s="3" t="s">
        <v>8594</v>
      </c>
      <c r="B10012" s="3" t="s">
        <v>8598</v>
      </c>
      <c r="C10012" s="3" t="s">
        <v>8925</v>
      </c>
      <c r="D10012" s="4" t="str">
        <f t="shared" si="1282"/>
        <v>12Go Link</v>
      </c>
      <c r="E10012" s="3" t="s">
        <v>226</v>
      </c>
      <c r="K10012" s="5"/>
    </row>
    <row r="10013">
      <c r="A10013" s="3" t="s">
        <v>8594</v>
      </c>
      <c r="B10013" s="3" t="s">
        <v>8598</v>
      </c>
      <c r="C10013" s="3" t="s">
        <v>8925</v>
      </c>
      <c r="D10013" s="4" t="str">
        <f t="shared" si="1282"/>
        <v>12Go Link</v>
      </c>
      <c r="E10013" s="3" t="s">
        <v>3203</v>
      </c>
      <c r="K10013" s="5"/>
    </row>
    <row r="10014">
      <c r="A10014" s="3" t="s">
        <v>8594</v>
      </c>
      <c r="B10014" s="3" t="s">
        <v>8603</v>
      </c>
      <c r="C10014" s="3" t="s">
        <v>8926</v>
      </c>
      <c r="D10014" s="4" t="str">
        <f t="shared" ref="D10014:D10016" si="1283">HYPERLINK("https://12go.asia/en/travel/Adnan-Menderes-Airport/Aliaga-Hotel-Transfer", "12Go Link")</f>
        <v>12Go Link</v>
      </c>
      <c r="E10014" s="3" t="s">
        <v>3196</v>
      </c>
      <c r="K10014" s="5"/>
    </row>
    <row r="10015">
      <c r="A10015" s="3" t="s">
        <v>8594</v>
      </c>
      <c r="B10015" s="3" t="s">
        <v>8603</v>
      </c>
      <c r="C10015" s="3" t="s">
        <v>8926</v>
      </c>
      <c r="D10015" s="4" t="str">
        <f t="shared" si="1283"/>
        <v>12Go Link</v>
      </c>
      <c r="E10015" s="3" t="s">
        <v>226</v>
      </c>
      <c r="K10015" s="5"/>
    </row>
    <row r="10016">
      <c r="A10016" s="3" t="s">
        <v>8594</v>
      </c>
      <c r="B10016" s="3" t="s">
        <v>8603</v>
      </c>
      <c r="C10016" s="3" t="s">
        <v>8926</v>
      </c>
      <c r="D10016" s="4" t="str">
        <f t="shared" si="1283"/>
        <v>12Go Link</v>
      </c>
      <c r="E10016" s="3" t="s">
        <v>3203</v>
      </c>
      <c r="K10016" s="5"/>
    </row>
    <row r="10017">
      <c r="A10017" s="3" t="s">
        <v>8594</v>
      </c>
      <c r="B10017" s="3" t="s">
        <v>8605</v>
      </c>
      <c r="C10017" s="3" t="s">
        <v>8927</v>
      </c>
      <c r="D10017" s="4" t="str">
        <f t="shared" ref="D10017:D10019" si="1284">HYPERLINK("https://12go.asia/en/travel/Adnan-Menderes-Airport/Altinkum-Hotel-Transfer", "12Go Link")</f>
        <v>12Go Link</v>
      </c>
      <c r="E10017" s="3" t="s">
        <v>3196</v>
      </c>
      <c r="K10017" s="5"/>
    </row>
    <row r="10018">
      <c r="A10018" s="3" t="s">
        <v>8594</v>
      </c>
      <c r="B10018" s="3" t="s">
        <v>8605</v>
      </c>
      <c r="C10018" s="3" t="s">
        <v>8927</v>
      </c>
      <c r="D10018" s="4" t="str">
        <f t="shared" si="1284"/>
        <v>12Go Link</v>
      </c>
      <c r="E10018" s="3" t="s">
        <v>226</v>
      </c>
      <c r="K10018" s="5"/>
    </row>
    <row r="10019">
      <c r="A10019" s="3" t="s">
        <v>8594</v>
      </c>
      <c r="B10019" s="3" t="s">
        <v>8605</v>
      </c>
      <c r="C10019" s="3" t="s">
        <v>8927</v>
      </c>
      <c r="D10019" s="4" t="str">
        <f t="shared" si="1284"/>
        <v>12Go Link</v>
      </c>
      <c r="E10019" s="3" t="s">
        <v>3203</v>
      </c>
      <c r="K10019" s="5"/>
    </row>
    <row r="10020">
      <c r="A10020" s="3" t="s">
        <v>8594</v>
      </c>
      <c r="B10020" s="3" t="s">
        <v>8607</v>
      </c>
      <c r="C10020" s="3" t="s">
        <v>8928</v>
      </c>
      <c r="D10020" s="4" t="str">
        <f t="shared" ref="D10020:D10022" si="1285">HYPERLINK("https://12go.asia/en/travel/Adnan-Menderes-Airport/Altinoluk-Hotel-Transfer", "12Go Link")</f>
        <v>12Go Link</v>
      </c>
      <c r="E10020" s="3" t="s">
        <v>3196</v>
      </c>
      <c r="K10020" s="5"/>
    </row>
    <row r="10021">
      <c r="A10021" s="3" t="s">
        <v>8594</v>
      </c>
      <c r="B10021" s="3" t="s">
        <v>8607</v>
      </c>
      <c r="C10021" s="3" t="s">
        <v>8928</v>
      </c>
      <c r="D10021" s="4" t="str">
        <f t="shared" si="1285"/>
        <v>12Go Link</v>
      </c>
      <c r="E10021" s="3" t="s">
        <v>226</v>
      </c>
      <c r="K10021" s="5"/>
    </row>
    <row r="10022">
      <c r="A10022" s="3" t="s">
        <v>8594</v>
      </c>
      <c r="B10022" s="3" t="s">
        <v>8607</v>
      </c>
      <c r="C10022" s="3" t="s">
        <v>8928</v>
      </c>
      <c r="D10022" s="4" t="str">
        <f t="shared" si="1285"/>
        <v>12Go Link</v>
      </c>
      <c r="E10022" s="3" t="s">
        <v>3203</v>
      </c>
      <c r="K10022" s="5"/>
    </row>
    <row r="10023">
      <c r="A10023" s="3" t="s">
        <v>8594</v>
      </c>
      <c r="B10023" s="3" t="s">
        <v>8609</v>
      </c>
      <c r="C10023" s="3" t="s">
        <v>8929</v>
      </c>
      <c r="D10023" s="4" t="str">
        <f t="shared" ref="D10023:D10025" si="1286">HYPERLINK("https://12go.asia/en/travel/Adnan-Menderes-Airport/Altinova-Hotel-Transfer", "12Go Link")</f>
        <v>12Go Link</v>
      </c>
      <c r="E10023" s="3" t="s">
        <v>3196</v>
      </c>
      <c r="K10023" s="5"/>
    </row>
    <row r="10024">
      <c r="A10024" s="3" t="s">
        <v>8594</v>
      </c>
      <c r="B10024" s="3" t="s">
        <v>8609</v>
      </c>
      <c r="C10024" s="3" t="s">
        <v>8929</v>
      </c>
      <c r="D10024" s="4" t="str">
        <f t="shared" si="1286"/>
        <v>12Go Link</v>
      </c>
      <c r="E10024" s="3" t="s">
        <v>226</v>
      </c>
      <c r="K10024" s="5"/>
    </row>
    <row r="10025">
      <c r="A10025" s="3" t="s">
        <v>8594</v>
      </c>
      <c r="B10025" s="3" t="s">
        <v>8609</v>
      </c>
      <c r="C10025" s="3" t="s">
        <v>8929</v>
      </c>
      <c r="D10025" s="4" t="str">
        <f t="shared" si="1286"/>
        <v>12Go Link</v>
      </c>
      <c r="E10025" s="3" t="s">
        <v>3203</v>
      </c>
      <c r="K10025" s="5"/>
    </row>
    <row r="10026">
      <c r="A10026" s="3" t="s">
        <v>8594</v>
      </c>
      <c r="B10026" s="3" t="s">
        <v>8673</v>
      </c>
      <c r="C10026" s="3" t="s">
        <v>8930</v>
      </c>
      <c r="D10026" s="4" t="str">
        <f t="shared" ref="D10026:D10028" si="1287">HYPERLINK("https://12go.asia/en/travel/Adnan-Menderes-Airport/Assos-Behram-Hotel-Transfer", "12Go Link")</f>
        <v>12Go Link</v>
      </c>
      <c r="E10026" s="3" t="s">
        <v>3196</v>
      </c>
      <c r="K10026" s="5"/>
    </row>
    <row r="10027">
      <c r="A10027" s="3" t="s">
        <v>8594</v>
      </c>
      <c r="B10027" s="3" t="s">
        <v>8673</v>
      </c>
      <c r="C10027" s="3" t="s">
        <v>8930</v>
      </c>
      <c r="D10027" s="4" t="str">
        <f t="shared" si="1287"/>
        <v>12Go Link</v>
      </c>
      <c r="E10027" s="3" t="s">
        <v>226</v>
      </c>
      <c r="K10027" s="5"/>
    </row>
    <row r="10028">
      <c r="A10028" s="3" t="s">
        <v>8594</v>
      </c>
      <c r="B10028" s="3" t="s">
        <v>8673</v>
      </c>
      <c r="C10028" s="3" t="s">
        <v>8930</v>
      </c>
      <c r="D10028" s="4" t="str">
        <f t="shared" si="1287"/>
        <v>12Go Link</v>
      </c>
      <c r="E10028" s="3" t="s">
        <v>3203</v>
      </c>
      <c r="K10028" s="5"/>
    </row>
    <row r="10029">
      <c r="A10029" s="3" t="s">
        <v>8594</v>
      </c>
      <c r="B10029" s="3" t="s">
        <v>8566</v>
      </c>
      <c r="C10029" s="3" t="s">
        <v>8931</v>
      </c>
      <c r="D10029" s="4" t="str">
        <f t="shared" ref="D10029:D10030" si="1288">HYPERLINK("https://12go.asia/en/travel/Izmir-Hotel-Transfer/Avanos-Hotel-Transfer", "12Go Link")</f>
        <v>12Go Link</v>
      </c>
      <c r="E10029" s="3" t="s">
        <v>8568</v>
      </c>
      <c r="K10029" s="5"/>
    </row>
    <row r="10030">
      <c r="A10030" s="3" t="s">
        <v>8594</v>
      </c>
      <c r="B10030" s="3" t="s">
        <v>8566</v>
      </c>
      <c r="C10030" s="3" t="s">
        <v>8931</v>
      </c>
      <c r="D10030" s="4" t="str">
        <f t="shared" si="1288"/>
        <v>12Go Link</v>
      </c>
      <c r="E10030" s="3" t="s">
        <v>228</v>
      </c>
      <c r="K10030" s="5"/>
    </row>
    <row r="10031">
      <c r="A10031" s="3" t="s">
        <v>8594</v>
      </c>
      <c r="B10031" s="3" t="s">
        <v>8678</v>
      </c>
      <c r="C10031" s="3" t="s">
        <v>8932</v>
      </c>
      <c r="D10031" s="4" t="str">
        <f t="shared" ref="D10031:D10033" si="1289">HYPERLINK("https://12go.asia/en/travel/Adnan-Menderes-Airport/Ayvalik-Hotel-Transfer", "12Go Link")</f>
        <v>12Go Link</v>
      </c>
      <c r="E10031" s="3" t="s">
        <v>3196</v>
      </c>
      <c r="K10031" s="5"/>
    </row>
    <row r="10032">
      <c r="A10032" s="3" t="s">
        <v>8594</v>
      </c>
      <c r="B10032" s="3" t="s">
        <v>8678</v>
      </c>
      <c r="C10032" s="3" t="s">
        <v>8932</v>
      </c>
      <c r="D10032" s="4" t="str">
        <f t="shared" si="1289"/>
        <v>12Go Link</v>
      </c>
      <c r="E10032" s="3" t="s">
        <v>226</v>
      </c>
      <c r="K10032" s="5"/>
    </row>
    <row r="10033">
      <c r="A10033" s="3" t="s">
        <v>8594</v>
      </c>
      <c r="B10033" s="3" t="s">
        <v>8678</v>
      </c>
      <c r="C10033" s="3" t="s">
        <v>8932</v>
      </c>
      <c r="D10033" s="4" t="str">
        <f t="shared" si="1289"/>
        <v>12Go Link</v>
      </c>
      <c r="E10033" s="3" t="s">
        <v>3203</v>
      </c>
      <c r="K10033" s="5"/>
    </row>
    <row r="10034">
      <c r="A10034" s="3" t="s">
        <v>8594</v>
      </c>
      <c r="B10034" s="3" t="s">
        <v>8680</v>
      </c>
      <c r="C10034" s="3" t="s">
        <v>8933</v>
      </c>
      <c r="D10034" s="4" t="str">
        <f t="shared" ref="D10034:D10036" si="1290">HYPERLINK("https://12go.asia/en/travel/Adnan-Menderes-Airport/Bademli-Hotel-Transfer", "12Go Link")</f>
        <v>12Go Link</v>
      </c>
      <c r="E10034" s="3" t="s">
        <v>3196</v>
      </c>
      <c r="K10034" s="5"/>
    </row>
    <row r="10035">
      <c r="A10035" s="3" t="s">
        <v>8594</v>
      </c>
      <c r="B10035" s="3" t="s">
        <v>8680</v>
      </c>
      <c r="C10035" s="3" t="s">
        <v>8933</v>
      </c>
      <c r="D10035" s="4" t="str">
        <f t="shared" si="1290"/>
        <v>12Go Link</v>
      </c>
      <c r="E10035" s="3" t="s">
        <v>226</v>
      </c>
      <c r="K10035" s="5"/>
    </row>
    <row r="10036">
      <c r="A10036" s="3" t="s">
        <v>8594</v>
      </c>
      <c r="B10036" s="3" t="s">
        <v>8680</v>
      </c>
      <c r="C10036" s="3" t="s">
        <v>8933</v>
      </c>
      <c r="D10036" s="4" t="str">
        <f t="shared" si="1290"/>
        <v>12Go Link</v>
      </c>
      <c r="E10036" s="3" t="s">
        <v>3203</v>
      </c>
      <c r="K10036" s="5"/>
    </row>
    <row r="10037">
      <c r="A10037" s="3" t="s">
        <v>8594</v>
      </c>
      <c r="B10037" s="3" t="s">
        <v>8682</v>
      </c>
      <c r="C10037" s="3" t="s">
        <v>8934</v>
      </c>
      <c r="D10037" s="4" t="str">
        <f t="shared" ref="D10037:D10039" si="1291">HYPERLINK("https://12go.asia/en/travel/Adnan-Menderes-Airport/Balikesir-Hotel-Transfer", "12Go Link")</f>
        <v>12Go Link</v>
      </c>
      <c r="E10037" s="3" t="s">
        <v>3196</v>
      </c>
      <c r="K10037" s="5"/>
    </row>
    <row r="10038">
      <c r="A10038" s="3" t="s">
        <v>8594</v>
      </c>
      <c r="B10038" s="3" t="s">
        <v>8682</v>
      </c>
      <c r="C10038" s="3" t="s">
        <v>8934</v>
      </c>
      <c r="D10038" s="4" t="str">
        <f t="shared" si="1291"/>
        <v>12Go Link</v>
      </c>
      <c r="E10038" s="3" t="s">
        <v>226</v>
      </c>
      <c r="K10038" s="5"/>
    </row>
    <row r="10039">
      <c r="A10039" s="3" t="s">
        <v>8594</v>
      </c>
      <c r="B10039" s="3" t="s">
        <v>8682</v>
      </c>
      <c r="C10039" s="3" t="s">
        <v>8934</v>
      </c>
      <c r="D10039" s="4" t="str">
        <f t="shared" si="1291"/>
        <v>12Go Link</v>
      </c>
      <c r="E10039" s="3" t="s">
        <v>3203</v>
      </c>
      <c r="K10039" s="5"/>
    </row>
    <row r="10040">
      <c r="A10040" s="3" t="s">
        <v>8594</v>
      </c>
      <c r="B10040" s="3" t="s">
        <v>8686</v>
      </c>
      <c r="C10040" s="3" t="s">
        <v>8935</v>
      </c>
      <c r="D10040" s="4" t="str">
        <f t="shared" ref="D10040:D10042" si="1292">HYPERLINK("https://12go.asia/en/travel/Adnan-Menderes-Airport/Bergama-Hotel-Transfer", "12Go Link")</f>
        <v>12Go Link</v>
      </c>
      <c r="E10040" s="3" t="s">
        <v>3196</v>
      </c>
      <c r="K10040" s="5"/>
    </row>
    <row r="10041">
      <c r="A10041" s="3" t="s">
        <v>8594</v>
      </c>
      <c r="B10041" s="3" t="s">
        <v>8686</v>
      </c>
      <c r="C10041" s="3" t="s">
        <v>8935</v>
      </c>
      <c r="D10041" s="4" t="str">
        <f t="shared" si="1292"/>
        <v>12Go Link</v>
      </c>
      <c r="E10041" s="3" t="s">
        <v>226</v>
      </c>
      <c r="K10041" s="5"/>
    </row>
    <row r="10042">
      <c r="A10042" s="3" t="s">
        <v>8594</v>
      </c>
      <c r="B10042" s="3" t="s">
        <v>8686</v>
      </c>
      <c r="C10042" s="3" t="s">
        <v>8935</v>
      </c>
      <c r="D10042" s="4" t="str">
        <f t="shared" si="1292"/>
        <v>12Go Link</v>
      </c>
      <c r="E10042" s="3" t="s">
        <v>3203</v>
      </c>
      <c r="K10042" s="5"/>
    </row>
    <row r="10043">
      <c r="A10043" s="3" t="s">
        <v>8594</v>
      </c>
      <c r="B10043" s="3" t="s">
        <v>8688</v>
      </c>
      <c r="C10043" s="3" t="s">
        <v>8936</v>
      </c>
      <c r="D10043" s="4" t="str">
        <f t="shared" ref="D10043:D10045" si="1293">HYPERLINK("https://12go.asia/en/travel/Adnan-Menderes-Airport/Bitez-Hotel-Transfer", "12Go Link")</f>
        <v>12Go Link</v>
      </c>
      <c r="E10043" s="3" t="s">
        <v>3196</v>
      </c>
      <c r="K10043" s="5"/>
    </row>
    <row r="10044">
      <c r="A10044" s="3" t="s">
        <v>8594</v>
      </c>
      <c r="B10044" s="3" t="s">
        <v>8688</v>
      </c>
      <c r="C10044" s="3" t="s">
        <v>8936</v>
      </c>
      <c r="D10044" s="4" t="str">
        <f t="shared" si="1293"/>
        <v>12Go Link</v>
      </c>
      <c r="E10044" s="3" t="s">
        <v>226</v>
      </c>
      <c r="K10044" s="5"/>
    </row>
    <row r="10045">
      <c r="A10045" s="3" t="s">
        <v>8594</v>
      </c>
      <c r="B10045" s="3" t="s">
        <v>8688</v>
      </c>
      <c r="C10045" s="3" t="s">
        <v>8936</v>
      </c>
      <c r="D10045" s="4" t="str">
        <f t="shared" si="1293"/>
        <v>12Go Link</v>
      </c>
      <c r="E10045" s="3" t="s">
        <v>3203</v>
      </c>
      <c r="K10045" s="5"/>
    </row>
    <row r="10046">
      <c r="A10046" s="3" t="s">
        <v>8594</v>
      </c>
      <c r="B10046" s="3" t="s">
        <v>8690</v>
      </c>
      <c r="C10046" s="3" t="s">
        <v>8937</v>
      </c>
      <c r="D10046" s="4" t="str">
        <f t="shared" ref="D10046:D10048" si="1294">HYPERLINK("https://12go.asia/en/travel/Adnan-Menderes-Airport/Bodrum-Hotel-Transfer", "12Go Link")</f>
        <v>12Go Link</v>
      </c>
      <c r="E10046" s="3" t="s">
        <v>3196</v>
      </c>
      <c r="K10046" s="5"/>
    </row>
    <row r="10047">
      <c r="A10047" s="3" t="s">
        <v>8594</v>
      </c>
      <c r="B10047" s="3" t="s">
        <v>8690</v>
      </c>
      <c r="C10047" s="3" t="s">
        <v>8937</v>
      </c>
      <c r="D10047" s="4" t="str">
        <f t="shared" si="1294"/>
        <v>12Go Link</v>
      </c>
      <c r="E10047" s="3" t="s">
        <v>226</v>
      </c>
      <c r="K10047" s="5"/>
    </row>
    <row r="10048">
      <c r="A10048" s="3" t="s">
        <v>8594</v>
      </c>
      <c r="B10048" s="3" t="s">
        <v>8690</v>
      </c>
      <c r="C10048" s="3" t="s">
        <v>8937</v>
      </c>
      <c r="D10048" s="4" t="str">
        <f t="shared" si="1294"/>
        <v>12Go Link</v>
      </c>
      <c r="E10048" s="3" t="s">
        <v>3203</v>
      </c>
      <c r="K10048" s="5"/>
    </row>
    <row r="10049">
      <c r="A10049" s="3" t="s">
        <v>8594</v>
      </c>
      <c r="B10049" s="3" t="s">
        <v>8694</v>
      </c>
      <c r="C10049" s="3" t="s">
        <v>8938</v>
      </c>
      <c r="D10049" s="4" t="str">
        <f t="shared" ref="D10049:D10051" si="1295">HYPERLINK("https://12go.asia/en/travel/Adnan-Menderes-Airport/Buharkent-Hotel-Transfer", "12Go Link")</f>
        <v>12Go Link</v>
      </c>
      <c r="E10049" s="3" t="s">
        <v>3196</v>
      </c>
      <c r="K10049" s="5"/>
    </row>
    <row r="10050">
      <c r="A10050" s="3" t="s">
        <v>8594</v>
      </c>
      <c r="B10050" s="3" t="s">
        <v>8694</v>
      </c>
      <c r="C10050" s="3" t="s">
        <v>8938</v>
      </c>
      <c r="D10050" s="4" t="str">
        <f t="shared" si="1295"/>
        <v>12Go Link</v>
      </c>
      <c r="E10050" s="3" t="s">
        <v>226</v>
      </c>
      <c r="K10050" s="5"/>
    </row>
    <row r="10051">
      <c r="A10051" s="3" t="s">
        <v>8594</v>
      </c>
      <c r="B10051" s="3" t="s">
        <v>8694</v>
      </c>
      <c r="C10051" s="3" t="s">
        <v>8938</v>
      </c>
      <c r="D10051" s="4" t="str">
        <f t="shared" si="1295"/>
        <v>12Go Link</v>
      </c>
      <c r="E10051" s="3" t="s">
        <v>3203</v>
      </c>
      <c r="K10051" s="5"/>
    </row>
    <row r="10052">
      <c r="A10052" s="3" t="s">
        <v>8594</v>
      </c>
      <c r="B10052" s="3" t="s">
        <v>8697</v>
      </c>
      <c r="C10052" s="3" t="s">
        <v>8939</v>
      </c>
      <c r="D10052" s="4" t="str">
        <f t="shared" ref="D10052:D10054" si="1296">HYPERLINK("https://12go.asia/en/travel/Adnan-Menderes-Airport/Candarli-Hotel-Transfer", "12Go Link")</f>
        <v>12Go Link</v>
      </c>
      <c r="E10052" s="3" t="s">
        <v>3196</v>
      </c>
      <c r="K10052" s="5"/>
    </row>
    <row r="10053">
      <c r="A10053" s="3" t="s">
        <v>8594</v>
      </c>
      <c r="B10053" s="3" t="s">
        <v>8697</v>
      </c>
      <c r="C10053" s="3" t="s">
        <v>8939</v>
      </c>
      <c r="D10053" s="4" t="str">
        <f t="shared" si="1296"/>
        <v>12Go Link</v>
      </c>
      <c r="E10053" s="3" t="s">
        <v>226</v>
      </c>
      <c r="K10053" s="5"/>
    </row>
    <row r="10054">
      <c r="A10054" s="3" t="s">
        <v>8594</v>
      </c>
      <c r="B10054" s="3" t="s">
        <v>8697</v>
      </c>
      <c r="C10054" s="3" t="s">
        <v>8939</v>
      </c>
      <c r="D10054" s="4" t="str">
        <f t="shared" si="1296"/>
        <v>12Go Link</v>
      </c>
      <c r="E10054" s="3" t="s">
        <v>3203</v>
      </c>
      <c r="K10054" s="5"/>
    </row>
    <row r="10055">
      <c r="A10055" s="3" t="s">
        <v>8594</v>
      </c>
      <c r="B10055" s="3" t="s">
        <v>8570</v>
      </c>
      <c r="C10055" s="3" t="s">
        <v>8940</v>
      </c>
      <c r="D10055" s="4" t="str">
        <f t="shared" ref="D10055:D10056" si="1297">HYPERLINK("https://12go.asia/en/travel/Izmir-Hotel-Transfer/Cappadocia-Hotel-Transfer", "12Go Link")</f>
        <v>12Go Link</v>
      </c>
      <c r="E10055" s="3" t="s">
        <v>8568</v>
      </c>
      <c r="K10055" s="5"/>
    </row>
    <row r="10056">
      <c r="A10056" s="3" t="s">
        <v>8594</v>
      </c>
      <c r="B10056" s="3" t="s">
        <v>8570</v>
      </c>
      <c r="C10056" s="3" t="s">
        <v>8940</v>
      </c>
      <c r="D10056" s="4" t="str">
        <f t="shared" si="1297"/>
        <v>12Go Link</v>
      </c>
      <c r="E10056" s="3" t="s">
        <v>228</v>
      </c>
      <c r="K10056" s="5"/>
    </row>
    <row r="10057">
      <c r="A10057" s="3" t="s">
        <v>8594</v>
      </c>
      <c r="B10057" s="3" t="s">
        <v>8573</v>
      </c>
      <c r="C10057" s="3" t="s">
        <v>8941</v>
      </c>
      <c r="D10057" s="4" t="str">
        <f t="shared" ref="D10057:D10058" si="1298">HYPERLINK("https://12go.asia/en/travel/Izmir-Hotel-Transfer/Cavusin-Hotel-Transfer", "12Go Link")</f>
        <v>12Go Link</v>
      </c>
      <c r="E10057" s="3" t="s">
        <v>8568</v>
      </c>
      <c r="K10057" s="5"/>
    </row>
    <row r="10058">
      <c r="A10058" s="3" t="s">
        <v>8594</v>
      </c>
      <c r="B10058" s="3" t="s">
        <v>8573</v>
      </c>
      <c r="C10058" s="3" t="s">
        <v>8941</v>
      </c>
      <c r="D10058" s="4" t="str">
        <f t="shared" si="1298"/>
        <v>12Go Link</v>
      </c>
      <c r="E10058" s="3" t="s">
        <v>228</v>
      </c>
      <c r="K10058" s="5"/>
    </row>
    <row r="10059">
      <c r="A10059" s="3" t="s">
        <v>8594</v>
      </c>
      <c r="B10059" s="3" t="s">
        <v>8703</v>
      </c>
      <c r="C10059" s="3" t="s">
        <v>8942</v>
      </c>
      <c r="D10059" s="4" t="str">
        <f t="shared" ref="D10059:D10061" si="1299">HYPERLINK("https://12go.asia/en/travel/Adnan-Menderes-Airport/Cesme-Hotel-Transfer", "12Go Link")</f>
        <v>12Go Link</v>
      </c>
      <c r="E10059" s="3" t="s">
        <v>3196</v>
      </c>
      <c r="K10059" s="5"/>
    </row>
    <row r="10060">
      <c r="A10060" s="3" t="s">
        <v>8594</v>
      </c>
      <c r="B10060" s="3" t="s">
        <v>8703</v>
      </c>
      <c r="C10060" s="3" t="s">
        <v>8942</v>
      </c>
      <c r="D10060" s="4" t="str">
        <f t="shared" si="1299"/>
        <v>12Go Link</v>
      </c>
      <c r="E10060" s="3" t="s">
        <v>226</v>
      </c>
      <c r="K10060" s="5"/>
    </row>
    <row r="10061">
      <c r="A10061" s="3" t="s">
        <v>8594</v>
      </c>
      <c r="B10061" s="3" t="s">
        <v>8703</v>
      </c>
      <c r="C10061" s="3" t="s">
        <v>8942</v>
      </c>
      <c r="D10061" s="4" t="str">
        <f t="shared" si="1299"/>
        <v>12Go Link</v>
      </c>
      <c r="E10061" s="3" t="s">
        <v>3203</v>
      </c>
      <c r="K10061" s="5"/>
    </row>
    <row r="10062">
      <c r="A10062" s="3" t="s">
        <v>8594</v>
      </c>
      <c r="B10062" s="3" t="s">
        <v>8709</v>
      </c>
      <c r="C10062" s="3" t="s">
        <v>8943</v>
      </c>
      <c r="D10062" s="4" t="str">
        <f t="shared" ref="D10062:D10064" si="1300">HYPERLINK("https://12go.asia/en/travel/Adnan-Menderes-Airport/Dalyan-Hotel-Transfer", "12Go Link")</f>
        <v>12Go Link</v>
      </c>
      <c r="E10062" s="3" t="s">
        <v>3196</v>
      </c>
      <c r="K10062" s="5"/>
    </row>
    <row r="10063">
      <c r="A10063" s="3" t="s">
        <v>8594</v>
      </c>
      <c r="B10063" s="3" t="s">
        <v>8709</v>
      </c>
      <c r="C10063" s="3" t="s">
        <v>8943</v>
      </c>
      <c r="D10063" s="4" t="str">
        <f t="shared" si="1300"/>
        <v>12Go Link</v>
      </c>
      <c r="E10063" s="3" t="s">
        <v>226</v>
      </c>
      <c r="K10063" s="5"/>
    </row>
    <row r="10064">
      <c r="A10064" s="3" t="s">
        <v>8594</v>
      </c>
      <c r="B10064" s="3" t="s">
        <v>8709</v>
      </c>
      <c r="C10064" s="3" t="s">
        <v>8943</v>
      </c>
      <c r="D10064" s="4" t="str">
        <f t="shared" si="1300"/>
        <v>12Go Link</v>
      </c>
      <c r="E10064" s="3" t="s">
        <v>3203</v>
      </c>
      <c r="K10064" s="5"/>
    </row>
    <row r="10065">
      <c r="A10065" s="3" t="s">
        <v>8594</v>
      </c>
      <c r="B10065" s="3" t="s">
        <v>8782</v>
      </c>
      <c r="C10065" s="3" t="s">
        <v>8944</v>
      </c>
      <c r="D10065" s="4" t="str">
        <f t="shared" ref="D10065:D10067" si="1301">HYPERLINK("https://12go.asia/en/travel/Adnan-Menderes-Airport/Davutlar-Hotel-Transfer", "12Go Link")</f>
        <v>12Go Link</v>
      </c>
      <c r="E10065" s="3" t="s">
        <v>3196</v>
      </c>
      <c r="K10065" s="5"/>
    </row>
    <row r="10066">
      <c r="A10066" s="3" t="s">
        <v>8594</v>
      </c>
      <c r="B10066" s="3" t="s">
        <v>8782</v>
      </c>
      <c r="C10066" s="3" t="s">
        <v>8944</v>
      </c>
      <c r="D10066" s="4" t="str">
        <f t="shared" si="1301"/>
        <v>12Go Link</v>
      </c>
      <c r="E10066" s="3" t="s">
        <v>226</v>
      </c>
      <c r="K10066" s="5"/>
    </row>
    <row r="10067">
      <c r="A10067" s="3" t="s">
        <v>8594</v>
      </c>
      <c r="B10067" s="3" t="s">
        <v>8782</v>
      </c>
      <c r="C10067" s="3" t="s">
        <v>8944</v>
      </c>
      <c r="D10067" s="4" t="str">
        <f t="shared" si="1301"/>
        <v>12Go Link</v>
      </c>
      <c r="E10067" s="3" t="s">
        <v>3203</v>
      </c>
      <c r="K10067" s="5"/>
    </row>
    <row r="10068">
      <c r="A10068" s="3" t="s">
        <v>8594</v>
      </c>
      <c r="B10068" s="3" t="s">
        <v>8785</v>
      </c>
      <c r="C10068" s="3" t="s">
        <v>8945</v>
      </c>
      <c r="D10068" s="4" t="str">
        <f t="shared" ref="D10068:D10070" si="1302">HYPERLINK("https://12go.asia/en/travel/Adnan-Menderes-Airport/Denizli-Hotel-Transfer", "12Go Link")</f>
        <v>12Go Link</v>
      </c>
      <c r="E10068" s="3" t="s">
        <v>3196</v>
      </c>
      <c r="K10068" s="5"/>
    </row>
    <row r="10069">
      <c r="A10069" s="3" t="s">
        <v>8594</v>
      </c>
      <c r="B10069" s="3" t="s">
        <v>8785</v>
      </c>
      <c r="C10069" s="3" t="s">
        <v>8945</v>
      </c>
      <c r="D10069" s="4" t="str">
        <f t="shared" si="1302"/>
        <v>12Go Link</v>
      </c>
      <c r="E10069" s="3" t="s">
        <v>226</v>
      </c>
      <c r="K10069" s="5"/>
    </row>
    <row r="10070">
      <c r="A10070" s="3" t="s">
        <v>8594</v>
      </c>
      <c r="B10070" s="3" t="s">
        <v>8785</v>
      </c>
      <c r="C10070" s="3" t="s">
        <v>8945</v>
      </c>
      <c r="D10070" s="4" t="str">
        <f t="shared" si="1302"/>
        <v>12Go Link</v>
      </c>
      <c r="E10070" s="3" t="s">
        <v>3203</v>
      </c>
      <c r="K10070" s="5"/>
    </row>
    <row r="10071">
      <c r="A10071" s="3" t="s">
        <v>8594</v>
      </c>
      <c r="B10071" s="3" t="s">
        <v>8787</v>
      </c>
      <c r="C10071" s="3" t="s">
        <v>8946</v>
      </c>
      <c r="D10071" s="4" t="str">
        <f t="shared" ref="D10071:D10073" si="1303">HYPERLINK("https://12go.asia/en/travel/Adnan-Menderes-Airport/Dikili-Hotel-Transfer", "12Go Link")</f>
        <v>12Go Link</v>
      </c>
      <c r="E10071" s="3" t="s">
        <v>3196</v>
      </c>
      <c r="K10071" s="5"/>
    </row>
    <row r="10072">
      <c r="A10072" s="3" t="s">
        <v>8594</v>
      </c>
      <c r="B10072" s="3" t="s">
        <v>8787</v>
      </c>
      <c r="C10072" s="3" t="s">
        <v>8946</v>
      </c>
      <c r="D10072" s="4" t="str">
        <f t="shared" si="1303"/>
        <v>12Go Link</v>
      </c>
      <c r="E10072" s="3" t="s">
        <v>226</v>
      </c>
      <c r="K10072" s="5"/>
    </row>
    <row r="10073">
      <c r="A10073" s="3" t="s">
        <v>8594</v>
      </c>
      <c r="B10073" s="3" t="s">
        <v>8787</v>
      </c>
      <c r="C10073" s="3" t="s">
        <v>8946</v>
      </c>
      <c r="D10073" s="4" t="str">
        <f t="shared" si="1303"/>
        <v>12Go Link</v>
      </c>
      <c r="E10073" s="3" t="s">
        <v>3203</v>
      </c>
      <c r="K10073" s="5"/>
    </row>
    <row r="10074">
      <c r="A10074" s="3" t="s">
        <v>8594</v>
      </c>
      <c r="B10074" s="3" t="s">
        <v>8717</v>
      </c>
      <c r="C10074" s="3" t="s">
        <v>8947</v>
      </c>
      <c r="D10074" s="4" t="str">
        <f t="shared" ref="D10074:D10076" si="1304">HYPERLINK("https://12go.asia/en/travel/Adnan-Menderes-Airport/Fethiye-Hotel-Transfer", "12Go Link")</f>
        <v>12Go Link</v>
      </c>
      <c r="E10074" s="3" t="s">
        <v>3196</v>
      </c>
      <c r="K10074" s="5"/>
    </row>
    <row r="10075">
      <c r="A10075" s="3" t="s">
        <v>8594</v>
      </c>
      <c r="B10075" s="3" t="s">
        <v>8717</v>
      </c>
      <c r="C10075" s="3" t="s">
        <v>8947</v>
      </c>
      <c r="D10075" s="4" t="str">
        <f t="shared" si="1304"/>
        <v>12Go Link</v>
      </c>
      <c r="E10075" s="3" t="s">
        <v>226</v>
      </c>
      <c r="K10075" s="5"/>
    </row>
    <row r="10076">
      <c r="A10076" s="3" t="s">
        <v>8594</v>
      </c>
      <c r="B10076" s="3" t="s">
        <v>8717</v>
      </c>
      <c r="C10076" s="3" t="s">
        <v>8947</v>
      </c>
      <c r="D10076" s="4" t="str">
        <f t="shared" si="1304"/>
        <v>12Go Link</v>
      </c>
      <c r="E10076" s="3" t="s">
        <v>3203</v>
      </c>
      <c r="K10076" s="5"/>
    </row>
    <row r="10077">
      <c r="A10077" s="3" t="s">
        <v>8594</v>
      </c>
      <c r="B10077" s="3" t="s">
        <v>8802</v>
      </c>
      <c r="C10077" s="3" t="s">
        <v>8948</v>
      </c>
      <c r="D10077" s="4" t="str">
        <f t="shared" ref="D10077:D10079" si="1305">HYPERLINK("https://12go.asia/en/travel/Adnan-Menderes-Airport/Foca-Hotel-Transfer", "12Go Link")</f>
        <v>12Go Link</v>
      </c>
      <c r="E10077" s="3" t="s">
        <v>3196</v>
      </c>
      <c r="K10077" s="5"/>
    </row>
    <row r="10078">
      <c r="A10078" s="3" t="s">
        <v>8594</v>
      </c>
      <c r="B10078" s="3" t="s">
        <v>8802</v>
      </c>
      <c r="C10078" s="3" t="s">
        <v>8948</v>
      </c>
      <c r="D10078" s="4" t="str">
        <f t="shared" si="1305"/>
        <v>12Go Link</v>
      </c>
      <c r="E10078" s="3" t="s">
        <v>226</v>
      </c>
      <c r="K10078" s="5"/>
    </row>
    <row r="10079">
      <c r="A10079" s="3" t="s">
        <v>8594</v>
      </c>
      <c r="B10079" s="3" t="s">
        <v>8802</v>
      </c>
      <c r="C10079" s="3" t="s">
        <v>8948</v>
      </c>
      <c r="D10079" s="4" t="str">
        <f t="shared" si="1305"/>
        <v>12Go Link</v>
      </c>
      <c r="E10079" s="3" t="s">
        <v>3203</v>
      </c>
      <c r="K10079" s="5"/>
    </row>
    <row r="10080">
      <c r="A10080" s="3" t="s">
        <v>8594</v>
      </c>
      <c r="B10080" s="3" t="s">
        <v>8806</v>
      </c>
      <c r="C10080" s="3" t="s">
        <v>8949</v>
      </c>
      <c r="D10080" s="4" t="str">
        <f t="shared" ref="D10080:D10082" si="1306">HYPERLINK("https://12go.asia/en/travel/Adnan-Menderes-Airport/Germencik-Hotel-Transfer", "12Go Link")</f>
        <v>12Go Link</v>
      </c>
      <c r="E10080" s="3" t="s">
        <v>3196</v>
      </c>
      <c r="K10080" s="5"/>
    </row>
    <row r="10081">
      <c r="A10081" s="3" t="s">
        <v>8594</v>
      </c>
      <c r="B10081" s="3" t="s">
        <v>8806</v>
      </c>
      <c r="C10081" s="3" t="s">
        <v>8949</v>
      </c>
      <c r="D10081" s="4" t="str">
        <f t="shared" si="1306"/>
        <v>12Go Link</v>
      </c>
      <c r="E10081" s="3" t="s">
        <v>226</v>
      </c>
      <c r="K10081" s="5"/>
    </row>
    <row r="10082">
      <c r="A10082" s="3" t="s">
        <v>8594</v>
      </c>
      <c r="B10082" s="3" t="s">
        <v>8806</v>
      </c>
      <c r="C10082" s="3" t="s">
        <v>8949</v>
      </c>
      <c r="D10082" s="4" t="str">
        <f t="shared" si="1306"/>
        <v>12Go Link</v>
      </c>
      <c r="E10082" s="3" t="s">
        <v>3203</v>
      </c>
      <c r="K10082" s="5"/>
    </row>
    <row r="10083">
      <c r="A10083" s="3" t="s">
        <v>8594</v>
      </c>
      <c r="B10083" s="3" t="s">
        <v>8576</v>
      </c>
      <c r="C10083" s="3" t="s">
        <v>8950</v>
      </c>
      <c r="D10083" s="4" t="str">
        <f t="shared" ref="D10083:D10084" si="1307">HYPERLINK("https://12go.asia/en/travel/Izmir-Hotel-Transfer/Goreme-Hotel-Transfer", "12Go Link")</f>
        <v>12Go Link</v>
      </c>
      <c r="E10083" s="3" t="s">
        <v>8568</v>
      </c>
      <c r="K10083" s="5"/>
    </row>
    <row r="10084">
      <c r="A10084" s="3" t="s">
        <v>8594</v>
      </c>
      <c r="B10084" s="3" t="s">
        <v>8576</v>
      </c>
      <c r="C10084" s="3" t="s">
        <v>8950</v>
      </c>
      <c r="D10084" s="4" t="str">
        <f t="shared" si="1307"/>
        <v>12Go Link</v>
      </c>
      <c r="E10084" s="3" t="s">
        <v>228</v>
      </c>
      <c r="K10084" s="5"/>
    </row>
    <row r="10085">
      <c r="A10085" s="3" t="s">
        <v>8594</v>
      </c>
      <c r="B10085" s="3" t="s">
        <v>8821</v>
      </c>
      <c r="C10085" s="3" t="s">
        <v>8951</v>
      </c>
      <c r="D10085" s="4" t="str">
        <f t="shared" ref="D10085:D10087" si="1308">HYPERLINK("https://12go.asia/en/travel/Adnan-Menderes-Airport/Guzelcamli-Hotel-Transfer", "12Go Link")</f>
        <v>12Go Link</v>
      </c>
      <c r="E10085" s="3" t="s">
        <v>3196</v>
      </c>
      <c r="K10085" s="5"/>
    </row>
    <row r="10086">
      <c r="A10086" s="3" t="s">
        <v>8594</v>
      </c>
      <c r="B10086" s="3" t="s">
        <v>8821</v>
      </c>
      <c r="C10086" s="3" t="s">
        <v>8951</v>
      </c>
      <c r="D10086" s="4" t="str">
        <f t="shared" si="1308"/>
        <v>12Go Link</v>
      </c>
      <c r="E10086" s="3" t="s">
        <v>226</v>
      </c>
      <c r="K10086" s="5"/>
    </row>
    <row r="10087">
      <c r="A10087" s="3" t="s">
        <v>8594</v>
      </c>
      <c r="B10087" s="3" t="s">
        <v>8821</v>
      </c>
      <c r="C10087" s="3" t="s">
        <v>8951</v>
      </c>
      <c r="D10087" s="4" t="str">
        <f t="shared" si="1308"/>
        <v>12Go Link</v>
      </c>
      <c r="E10087" s="3" t="s">
        <v>3203</v>
      </c>
      <c r="K10087" s="5"/>
    </row>
    <row r="10088">
      <c r="A10088" s="3" t="s">
        <v>8594</v>
      </c>
      <c r="B10088" s="3" t="s">
        <v>8731</v>
      </c>
      <c r="C10088" s="3" t="s">
        <v>8952</v>
      </c>
      <c r="D10088" s="4" t="str">
        <f t="shared" ref="D10088:D10090" si="1309">HYPERLINK("https://12go.asia/en/travel/Adnan-Menderes-Airport/Icmeler-Hotel-Transfer", "12Go Link")</f>
        <v>12Go Link</v>
      </c>
      <c r="E10088" s="3" t="s">
        <v>3196</v>
      </c>
      <c r="K10088" s="5"/>
    </row>
    <row r="10089">
      <c r="A10089" s="3" t="s">
        <v>8594</v>
      </c>
      <c r="B10089" s="3" t="s">
        <v>8731</v>
      </c>
      <c r="C10089" s="3" t="s">
        <v>8952</v>
      </c>
      <c r="D10089" s="4" t="str">
        <f t="shared" si="1309"/>
        <v>12Go Link</v>
      </c>
      <c r="E10089" s="3" t="s">
        <v>226</v>
      </c>
      <c r="K10089" s="5"/>
    </row>
    <row r="10090">
      <c r="A10090" s="3" t="s">
        <v>8594</v>
      </c>
      <c r="B10090" s="3" t="s">
        <v>8731</v>
      </c>
      <c r="C10090" s="3" t="s">
        <v>8952</v>
      </c>
      <c r="D10090" s="4" t="str">
        <f t="shared" si="1309"/>
        <v>12Go Link</v>
      </c>
      <c r="E10090" s="3" t="s">
        <v>3203</v>
      </c>
      <c r="K10090" s="5"/>
    </row>
    <row r="10091">
      <c r="A10091" s="3" t="s">
        <v>8594</v>
      </c>
      <c r="B10091" s="3" t="s">
        <v>8594</v>
      </c>
      <c r="C10091" s="3" t="s">
        <v>8953</v>
      </c>
      <c r="D10091" s="4" t="str">
        <f t="shared" ref="D10091:D10093" si="1310">HYPERLINK("https://12go.asia/en/travel/Adnan-Menderes-Airport/Balcova-Hotel-Transfer", "12Go Link")</f>
        <v>12Go Link</v>
      </c>
      <c r="E10091" s="3" t="s">
        <v>3196</v>
      </c>
      <c r="K10091" s="5"/>
    </row>
    <row r="10092">
      <c r="A10092" s="3" t="s">
        <v>8594</v>
      </c>
      <c r="B10092" s="3" t="s">
        <v>8594</v>
      </c>
      <c r="C10092" s="3" t="s">
        <v>8953</v>
      </c>
      <c r="D10092" s="4" t="str">
        <f t="shared" si="1310"/>
        <v>12Go Link</v>
      </c>
      <c r="E10092" s="3" t="s">
        <v>226</v>
      </c>
      <c r="K10092" s="5"/>
    </row>
    <row r="10093">
      <c r="A10093" s="3" t="s">
        <v>8594</v>
      </c>
      <c r="B10093" s="3" t="s">
        <v>8594</v>
      </c>
      <c r="C10093" s="3" t="s">
        <v>8953</v>
      </c>
      <c r="D10093" s="4" t="str">
        <f t="shared" si="1310"/>
        <v>12Go Link</v>
      </c>
      <c r="E10093" s="3" t="s">
        <v>3203</v>
      </c>
      <c r="K10093" s="5"/>
    </row>
    <row r="10094">
      <c r="A10094" s="3" t="s">
        <v>8594</v>
      </c>
      <c r="B10094" s="3" t="s">
        <v>8594</v>
      </c>
      <c r="C10094" s="3" t="s">
        <v>8954</v>
      </c>
      <c r="D10094" s="4" t="str">
        <f t="shared" ref="D10094:D10096" si="1311">HYPERLINK("https://12go.asia/en/travel/Adnan-Menderes-Airport/Bornova-Hotel-Transfer", "12Go Link")</f>
        <v>12Go Link</v>
      </c>
      <c r="E10094" s="3" t="s">
        <v>3196</v>
      </c>
      <c r="K10094" s="5"/>
    </row>
    <row r="10095">
      <c r="A10095" s="3" t="s">
        <v>8594</v>
      </c>
      <c r="B10095" s="3" t="s">
        <v>8594</v>
      </c>
      <c r="C10095" s="3" t="s">
        <v>8954</v>
      </c>
      <c r="D10095" s="4" t="str">
        <f t="shared" si="1311"/>
        <v>12Go Link</v>
      </c>
      <c r="E10095" s="3" t="s">
        <v>226</v>
      </c>
      <c r="K10095" s="5"/>
    </row>
    <row r="10096">
      <c r="A10096" s="3" t="s">
        <v>8594</v>
      </c>
      <c r="B10096" s="3" t="s">
        <v>8594</v>
      </c>
      <c r="C10096" s="3" t="s">
        <v>8954</v>
      </c>
      <c r="D10096" s="4" t="str">
        <f t="shared" si="1311"/>
        <v>12Go Link</v>
      </c>
      <c r="E10096" s="3" t="s">
        <v>3203</v>
      </c>
      <c r="K10096" s="5"/>
    </row>
    <row r="10097">
      <c r="A10097" s="3" t="s">
        <v>8594</v>
      </c>
      <c r="B10097" s="3" t="s">
        <v>8594</v>
      </c>
      <c r="C10097" s="3" t="s">
        <v>8955</v>
      </c>
      <c r="D10097" s="4" t="str">
        <f t="shared" ref="D10097:D10099" si="1312">HYPERLINK("https://12go.asia/en/travel/Adnan-Menderes-Airport/Izmir-Buca-Transfer", "12Go Link")</f>
        <v>12Go Link</v>
      </c>
      <c r="E10097" s="3" t="s">
        <v>3196</v>
      </c>
      <c r="K10097" s="5"/>
    </row>
    <row r="10098">
      <c r="A10098" s="3" t="s">
        <v>8594</v>
      </c>
      <c r="B10098" s="3" t="s">
        <v>8594</v>
      </c>
      <c r="C10098" s="3" t="s">
        <v>8955</v>
      </c>
      <c r="D10098" s="4" t="str">
        <f t="shared" si="1312"/>
        <v>12Go Link</v>
      </c>
      <c r="E10098" s="3" t="s">
        <v>226</v>
      </c>
      <c r="K10098" s="5"/>
    </row>
    <row r="10099">
      <c r="A10099" s="3" t="s">
        <v>8594</v>
      </c>
      <c r="B10099" s="3" t="s">
        <v>8594</v>
      </c>
      <c r="C10099" s="3" t="s">
        <v>8955</v>
      </c>
      <c r="D10099" s="4" t="str">
        <f t="shared" si="1312"/>
        <v>12Go Link</v>
      </c>
      <c r="E10099" s="3" t="s">
        <v>3203</v>
      </c>
      <c r="K10099" s="5"/>
    </row>
    <row r="10100">
      <c r="A10100" s="3" t="s">
        <v>8594</v>
      </c>
      <c r="B10100" s="3" t="s">
        <v>8594</v>
      </c>
      <c r="C10100" s="3" t="s">
        <v>8956</v>
      </c>
      <c r="D10100" s="4" t="str">
        <f t="shared" ref="D10100:D10102" si="1313">HYPERLINK("https://12go.asia/en/travel/Adnan-Menderes-Airport/Izmir-Hotel-Transfer", "12Go Link")</f>
        <v>12Go Link</v>
      </c>
      <c r="E10100" s="3" t="s">
        <v>3196</v>
      </c>
      <c r="K10100" s="5"/>
    </row>
    <row r="10101">
      <c r="A10101" s="3" t="s">
        <v>8594</v>
      </c>
      <c r="B10101" s="3" t="s">
        <v>8594</v>
      </c>
      <c r="C10101" s="3" t="s">
        <v>8956</v>
      </c>
      <c r="D10101" s="4" t="str">
        <f t="shared" si="1313"/>
        <v>12Go Link</v>
      </c>
      <c r="E10101" s="3" t="s">
        <v>226</v>
      </c>
      <c r="K10101" s="5"/>
    </row>
    <row r="10102">
      <c r="A10102" s="3" t="s">
        <v>8594</v>
      </c>
      <c r="B10102" s="3" t="s">
        <v>8594</v>
      </c>
      <c r="C10102" s="3" t="s">
        <v>8956</v>
      </c>
      <c r="D10102" s="4" t="str">
        <f t="shared" si="1313"/>
        <v>12Go Link</v>
      </c>
      <c r="E10102" s="3" t="s">
        <v>3203</v>
      </c>
      <c r="K10102" s="5"/>
    </row>
    <row r="10103">
      <c r="A10103" s="3" t="s">
        <v>8594</v>
      </c>
      <c r="B10103" s="3" t="s">
        <v>8594</v>
      </c>
      <c r="C10103" s="3" t="s">
        <v>8957</v>
      </c>
      <c r="D10103" s="4" t="str">
        <f t="shared" ref="D10103:D10105" si="1314">HYPERLINK("https://12go.asia/en/travel/Adnan-Menderes-Airport/Karsiyaka-Hotel-Transfer", "12Go Link")</f>
        <v>12Go Link</v>
      </c>
      <c r="E10103" s="3" t="s">
        <v>3196</v>
      </c>
      <c r="K10103" s="5"/>
    </row>
    <row r="10104">
      <c r="A10104" s="3" t="s">
        <v>8594</v>
      </c>
      <c r="B10104" s="3" t="s">
        <v>8594</v>
      </c>
      <c r="C10104" s="3" t="s">
        <v>8957</v>
      </c>
      <c r="D10104" s="4" t="str">
        <f t="shared" si="1314"/>
        <v>12Go Link</v>
      </c>
      <c r="E10104" s="3" t="s">
        <v>226</v>
      </c>
      <c r="K10104" s="5"/>
    </row>
    <row r="10105">
      <c r="A10105" s="3" t="s">
        <v>8594</v>
      </c>
      <c r="B10105" s="3" t="s">
        <v>8594</v>
      </c>
      <c r="C10105" s="3" t="s">
        <v>8957</v>
      </c>
      <c r="D10105" s="4" t="str">
        <f t="shared" si="1314"/>
        <v>12Go Link</v>
      </c>
      <c r="E10105" s="3" t="s">
        <v>3203</v>
      </c>
      <c r="K10105" s="5"/>
    </row>
    <row r="10106">
      <c r="A10106" s="3" t="s">
        <v>8594</v>
      </c>
      <c r="B10106" s="3" t="s">
        <v>8594</v>
      </c>
      <c r="C10106" s="3" t="s">
        <v>8958</v>
      </c>
      <c r="D10106" s="4" t="str">
        <f t="shared" ref="D10106:D10108" si="1315">HYPERLINK("https://12go.asia/en/travel/Balcova-Hotel-Transfer/Adnan-Menderes-Airport", "12Go Link")</f>
        <v>12Go Link</v>
      </c>
      <c r="E10106" s="3" t="s">
        <v>3196</v>
      </c>
      <c r="K10106" s="5"/>
    </row>
    <row r="10107">
      <c r="A10107" s="3" t="s">
        <v>8594</v>
      </c>
      <c r="B10107" s="3" t="s">
        <v>8594</v>
      </c>
      <c r="C10107" s="3" t="s">
        <v>8958</v>
      </c>
      <c r="D10107" s="4" t="str">
        <f t="shared" si="1315"/>
        <v>12Go Link</v>
      </c>
      <c r="E10107" s="3" t="s">
        <v>226</v>
      </c>
      <c r="K10107" s="5"/>
    </row>
    <row r="10108">
      <c r="A10108" s="3" t="s">
        <v>8594</v>
      </c>
      <c r="B10108" s="3" t="s">
        <v>8594</v>
      </c>
      <c r="C10108" s="3" t="s">
        <v>8958</v>
      </c>
      <c r="D10108" s="4" t="str">
        <f t="shared" si="1315"/>
        <v>12Go Link</v>
      </c>
      <c r="E10108" s="3" t="s">
        <v>3203</v>
      </c>
      <c r="K10108" s="5"/>
    </row>
    <row r="10109">
      <c r="A10109" s="3" t="s">
        <v>8594</v>
      </c>
      <c r="B10109" s="3" t="s">
        <v>8594</v>
      </c>
      <c r="C10109" s="3" t="s">
        <v>8959</v>
      </c>
      <c r="D10109" s="4" t="str">
        <f t="shared" ref="D10109:D10111" si="1316">HYPERLINK("https://12go.asia/en/travel/Bornova-Hotel-Transfer/Adnan-Menderes-Airport", "12Go Link")</f>
        <v>12Go Link</v>
      </c>
      <c r="E10109" s="3" t="s">
        <v>3196</v>
      </c>
      <c r="K10109" s="5"/>
    </row>
    <row r="10110">
      <c r="A10110" s="3" t="s">
        <v>8594</v>
      </c>
      <c r="B10110" s="3" t="s">
        <v>8594</v>
      </c>
      <c r="C10110" s="3" t="s">
        <v>8959</v>
      </c>
      <c r="D10110" s="4" t="str">
        <f t="shared" si="1316"/>
        <v>12Go Link</v>
      </c>
      <c r="E10110" s="3" t="s">
        <v>226</v>
      </c>
      <c r="K10110" s="5"/>
    </row>
    <row r="10111">
      <c r="A10111" s="3" t="s">
        <v>8594</v>
      </c>
      <c r="B10111" s="3" t="s">
        <v>8594</v>
      </c>
      <c r="C10111" s="3" t="s">
        <v>8959</v>
      </c>
      <c r="D10111" s="4" t="str">
        <f t="shared" si="1316"/>
        <v>12Go Link</v>
      </c>
      <c r="E10111" s="3" t="s">
        <v>3203</v>
      </c>
      <c r="K10111" s="5"/>
    </row>
    <row r="10112">
      <c r="A10112" s="3" t="s">
        <v>8594</v>
      </c>
      <c r="B10112" s="3" t="s">
        <v>8594</v>
      </c>
      <c r="C10112" s="3" t="s">
        <v>8960</v>
      </c>
      <c r="D10112" s="4" t="str">
        <f t="shared" ref="D10112:D10114" si="1317">HYPERLINK("https://12go.asia/en/travel/Izmir-Buca-Transfer/Adnan-Menderes-Airport", "12Go Link")</f>
        <v>12Go Link</v>
      </c>
      <c r="E10112" s="3" t="s">
        <v>3196</v>
      </c>
      <c r="K10112" s="5"/>
    </row>
    <row r="10113">
      <c r="A10113" s="3" t="s">
        <v>8594</v>
      </c>
      <c r="B10113" s="3" t="s">
        <v>8594</v>
      </c>
      <c r="C10113" s="3" t="s">
        <v>8960</v>
      </c>
      <c r="D10113" s="4" t="str">
        <f t="shared" si="1317"/>
        <v>12Go Link</v>
      </c>
      <c r="E10113" s="3" t="s">
        <v>226</v>
      </c>
      <c r="K10113" s="5"/>
    </row>
    <row r="10114">
      <c r="A10114" s="3" t="s">
        <v>8594</v>
      </c>
      <c r="B10114" s="3" t="s">
        <v>8594</v>
      </c>
      <c r="C10114" s="3" t="s">
        <v>8960</v>
      </c>
      <c r="D10114" s="4" t="str">
        <f t="shared" si="1317"/>
        <v>12Go Link</v>
      </c>
      <c r="E10114" s="3" t="s">
        <v>3203</v>
      </c>
      <c r="K10114" s="5"/>
    </row>
    <row r="10115">
      <c r="A10115" s="3" t="s">
        <v>8594</v>
      </c>
      <c r="B10115" s="3" t="s">
        <v>8594</v>
      </c>
      <c r="C10115" s="3" t="s">
        <v>8961</v>
      </c>
      <c r="D10115" s="4" t="str">
        <f t="shared" ref="D10115:D10117" si="1318">HYPERLINK("https://12go.asia/en/travel/Izmir-Hotel-Transfer/Adnan-Menderes-Airport", "12Go Link")</f>
        <v>12Go Link</v>
      </c>
      <c r="E10115" s="3" t="s">
        <v>3196</v>
      </c>
      <c r="K10115" s="5"/>
    </row>
    <row r="10116">
      <c r="A10116" s="3" t="s">
        <v>8594</v>
      </c>
      <c r="B10116" s="3" t="s">
        <v>8594</v>
      </c>
      <c r="C10116" s="3" t="s">
        <v>8961</v>
      </c>
      <c r="D10116" s="4" t="str">
        <f t="shared" si="1318"/>
        <v>12Go Link</v>
      </c>
      <c r="E10116" s="3" t="s">
        <v>226</v>
      </c>
      <c r="K10116" s="5"/>
    </row>
    <row r="10117">
      <c r="A10117" s="3" t="s">
        <v>8594</v>
      </c>
      <c r="B10117" s="3" t="s">
        <v>8594</v>
      </c>
      <c r="C10117" s="3" t="s">
        <v>8961</v>
      </c>
      <c r="D10117" s="4" t="str">
        <f t="shared" si="1318"/>
        <v>12Go Link</v>
      </c>
      <c r="E10117" s="3" t="s">
        <v>3203</v>
      </c>
      <c r="K10117" s="5"/>
    </row>
    <row r="10118">
      <c r="A10118" s="3" t="s">
        <v>8594</v>
      </c>
      <c r="B10118" s="3" t="s">
        <v>8594</v>
      </c>
      <c r="C10118" s="3" t="s">
        <v>8962</v>
      </c>
      <c r="D10118" s="4" t="str">
        <f t="shared" ref="D10118:D10120" si="1319">HYPERLINK("https://12go.asia/en/travel/Karsiyaka-Hotel-Transfer/Adnan-Menderes-Airport", "12Go Link")</f>
        <v>12Go Link</v>
      </c>
      <c r="E10118" s="3" t="s">
        <v>3196</v>
      </c>
      <c r="K10118" s="5"/>
    </row>
    <row r="10119">
      <c r="A10119" s="3" t="s">
        <v>8594</v>
      </c>
      <c r="B10119" s="3" t="s">
        <v>8594</v>
      </c>
      <c r="C10119" s="3" t="s">
        <v>8962</v>
      </c>
      <c r="D10119" s="4" t="str">
        <f t="shared" si="1319"/>
        <v>12Go Link</v>
      </c>
      <c r="E10119" s="3" t="s">
        <v>226</v>
      </c>
      <c r="K10119" s="5"/>
    </row>
    <row r="10120">
      <c r="A10120" s="3" t="s">
        <v>8594</v>
      </c>
      <c r="B10120" s="3" t="s">
        <v>8594</v>
      </c>
      <c r="C10120" s="3" t="s">
        <v>8962</v>
      </c>
      <c r="D10120" s="4" t="str">
        <f t="shared" si="1319"/>
        <v>12Go Link</v>
      </c>
      <c r="E10120" s="3" t="s">
        <v>3203</v>
      </c>
      <c r="K10120" s="5"/>
    </row>
    <row r="10121">
      <c r="A10121" s="3" t="s">
        <v>8594</v>
      </c>
      <c r="B10121" s="3" t="s">
        <v>8963</v>
      </c>
      <c r="C10121" s="3" t="s">
        <v>8964</v>
      </c>
      <c r="D10121" s="4" t="str">
        <f t="shared" ref="D10121:D10123" si="1320">HYPERLINK("https://12go.asia/en/travel/Adnan-Menderes-Airport/Karaburun-Hotel-Transfer", "12Go Link")</f>
        <v>12Go Link</v>
      </c>
      <c r="E10121" s="3" t="s">
        <v>3196</v>
      </c>
      <c r="K10121" s="5"/>
    </row>
    <row r="10122">
      <c r="A10122" s="3" t="s">
        <v>8594</v>
      </c>
      <c r="B10122" s="3" t="s">
        <v>8963</v>
      </c>
      <c r="C10122" s="3" t="s">
        <v>8964</v>
      </c>
      <c r="D10122" s="4" t="str">
        <f t="shared" si="1320"/>
        <v>12Go Link</v>
      </c>
      <c r="E10122" s="3" t="s">
        <v>226</v>
      </c>
      <c r="K10122" s="5"/>
    </row>
    <row r="10123">
      <c r="A10123" s="3" t="s">
        <v>8594</v>
      </c>
      <c r="B10123" s="3" t="s">
        <v>8963</v>
      </c>
      <c r="C10123" s="3" t="s">
        <v>8964</v>
      </c>
      <c r="D10123" s="4" t="str">
        <f t="shared" si="1320"/>
        <v>12Go Link</v>
      </c>
      <c r="E10123" s="3" t="s">
        <v>3203</v>
      </c>
      <c r="K10123" s="5"/>
    </row>
    <row r="10124">
      <c r="A10124" s="3" t="s">
        <v>8594</v>
      </c>
      <c r="B10124" s="3" t="s">
        <v>8965</v>
      </c>
      <c r="C10124" s="3" t="s">
        <v>8966</v>
      </c>
      <c r="D10124" s="4" t="str">
        <f t="shared" ref="D10124:D10126" si="1321">HYPERLINK("https://12go.asia/en/travel/Adnan-Menderes-Airport/Kusadasi-Hotel-Transfer", "12Go Link")</f>
        <v>12Go Link</v>
      </c>
      <c r="E10124" s="3" t="s">
        <v>3196</v>
      </c>
      <c r="K10124" s="5"/>
    </row>
    <row r="10125">
      <c r="A10125" s="3" t="s">
        <v>8594</v>
      </c>
      <c r="B10125" s="3" t="s">
        <v>8965</v>
      </c>
      <c r="C10125" s="3" t="s">
        <v>8966</v>
      </c>
      <c r="D10125" s="4" t="str">
        <f t="shared" si="1321"/>
        <v>12Go Link</v>
      </c>
      <c r="E10125" s="3" t="s">
        <v>226</v>
      </c>
      <c r="K10125" s="5"/>
    </row>
    <row r="10126">
      <c r="A10126" s="3" t="s">
        <v>8594</v>
      </c>
      <c r="B10126" s="3" t="s">
        <v>8965</v>
      </c>
      <c r="C10126" s="3" t="s">
        <v>8966</v>
      </c>
      <c r="D10126" s="4" t="str">
        <f t="shared" si="1321"/>
        <v>12Go Link</v>
      </c>
      <c r="E10126" s="3" t="s">
        <v>3203</v>
      </c>
      <c r="K10126" s="5"/>
    </row>
    <row r="10127">
      <c r="A10127" s="3" t="s">
        <v>8594</v>
      </c>
      <c r="B10127" s="3" t="s">
        <v>8965</v>
      </c>
      <c r="C10127" s="3" t="s">
        <v>8967</v>
      </c>
      <c r="D10127" s="4" t="str">
        <f t="shared" ref="D10127:D10129" si="1322">HYPERLINK("https://12go.asia/en/travel/Adnan-Menderes-Airport/Kusadasi-International-Golf-Resort", "12Go Link")</f>
        <v>12Go Link</v>
      </c>
      <c r="E10127" s="3" t="s">
        <v>3196</v>
      </c>
      <c r="K10127" s="5"/>
    </row>
    <row r="10128">
      <c r="A10128" s="3" t="s">
        <v>8594</v>
      </c>
      <c r="B10128" s="3" t="s">
        <v>8965</v>
      </c>
      <c r="C10128" s="3" t="s">
        <v>8967</v>
      </c>
      <c r="D10128" s="4" t="str">
        <f t="shared" si="1322"/>
        <v>12Go Link</v>
      </c>
      <c r="E10128" s="3" t="s">
        <v>226</v>
      </c>
      <c r="K10128" s="5"/>
    </row>
    <row r="10129">
      <c r="A10129" s="3" t="s">
        <v>8594</v>
      </c>
      <c r="B10129" s="3" t="s">
        <v>8965</v>
      </c>
      <c r="C10129" s="3" t="s">
        <v>8967</v>
      </c>
      <c r="D10129" s="4" t="str">
        <f t="shared" si="1322"/>
        <v>12Go Link</v>
      </c>
      <c r="E10129" s="3" t="s">
        <v>3203</v>
      </c>
      <c r="K10129" s="5"/>
    </row>
    <row r="10130">
      <c r="A10130" s="3" t="s">
        <v>8594</v>
      </c>
      <c r="B10130" s="3" t="s">
        <v>8968</v>
      </c>
      <c r="C10130" s="3" t="s">
        <v>8969</v>
      </c>
      <c r="D10130" s="4" t="str">
        <f t="shared" ref="D10130:D10132" si="1323">HYPERLINK("https://12go.asia/en/travel/Adnan-Menderes-Airport/Manisa-Hotel-Transfer", "12Go Link")</f>
        <v>12Go Link</v>
      </c>
      <c r="E10130" s="3" t="s">
        <v>3196</v>
      </c>
      <c r="K10130" s="5"/>
    </row>
    <row r="10131">
      <c r="A10131" s="3" t="s">
        <v>8594</v>
      </c>
      <c r="B10131" s="3" t="s">
        <v>8968</v>
      </c>
      <c r="C10131" s="3" t="s">
        <v>8969</v>
      </c>
      <c r="D10131" s="4" t="str">
        <f t="shared" si="1323"/>
        <v>12Go Link</v>
      </c>
      <c r="E10131" s="3" t="s">
        <v>226</v>
      </c>
      <c r="K10131" s="5"/>
    </row>
    <row r="10132">
      <c r="A10132" s="3" t="s">
        <v>8594</v>
      </c>
      <c r="B10132" s="3" t="s">
        <v>8968</v>
      </c>
      <c r="C10132" s="3" t="s">
        <v>8969</v>
      </c>
      <c r="D10132" s="4" t="str">
        <f t="shared" si="1323"/>
        <v>12Go Link</v>
      </c>
      <c r="E10132" s="3" t="s">
        <v>3203</v>
      </c>
      <c r="K10132" s="5"/>
    </row>
    <row r="10133">
      <c r="A10133" s="3" t="s">
        <v>8594</v>
      </c>
      <c r="B10133" s="3" t="s">
        <v>8751</v>
      </c>
      <c r="C10133" s="3" t="s">
        <v>8970</v>
      </c>
      <c r="D10133" s="4" t="str">
        <f t="shared" ref="D10133:D10135" si="1324">HYPERLINK("https://12go.asia/en/travel/Adnan-Menderes-Airport/Marmaris-Hotel-Transfer", "12Go Link")</f>
        <v>12Go Link</v>
      </c>
      <c r="E10133" s="3" t="s">
        <v>3196</v>
      </c>
      <c r="K10133" s="5"/>
    </row>
    <row r="10134">
      <c r="A10134" s="3" t="s">
        <v>8594</v>
      </c>
      <c r="B10134" s="3" t="s">
        <v>8751</v>
      </c>
      <c r="C10134" s="3" t="s">
        <v>8970</v>
      </c>
      <c r="D10134" s="4" t="str">
        <f t="shared" si="1324"/>
        <v>12Go Link</v>
      </c>
      <c r="E10134" s="3" t="s">
        <v>226</v>
      </c>
      <c r="K10134" s="5"/>
    </row>
    <row r="10135">
      <c r="A10135" s="3" t="s">
        <v>8594</v>
      </c>
      <c r="B10135" s="3" t="s">
        <v>8751</v>
      </c>
      <c r="C10135" s="3" t="s">
        <v>8970</v>
      </c>
      <c r="D10135" s="4" t="str">
        <f t="shared" si="1324"/>
        <v>12Go Link</v>
      </c>
      <c r="E10135" s="3" t="s">
        <v>3203</v>
      </c>
      <c r="K10135" s="5"/>
    </row>
    <row r="10136">
      <c r="A10136" s="3" t="s">
        <v>8594</v>
      </c>
      <c r="B10136" s="3" t="s">
        <v>8751</v>
      </c>
      <c r="C10136" s="3" t="s">
        <v>8971</v>
      </c>
      <c r="D10136" s="4" t="str">
        <f t="shared" ref="D10136:D10138" si="1325">HYPERLINK("https://12go.asia/en/travel/Adnan-Menderes-Airport/Marmaris-Yacht-Marina", "12Go Link")</f>
        <v>12Go Link</v>
      </c>
      <c r="E10136" s="3" t="s">
        <v>3196</v>
      </c>
      <c r="K10136" s="5"/>
    </row>
    <row r="10137">
      <c r="A10137" s="3" t="s">
        <v>8594</v>
      </c>
      <c r="B10137" s="3" t="s">
        <v>8751</v>
      </c>
      <c r="C10137" s="3" t="s">
        <v>8971</v>
      </c>
      <c r="D10137" s="4" t="str">
        <f t="shared" si="1325"/>
        <v>12Go Link</v>
      </c>
      <c r="E10137" s="3" t="s">
        <v>226</v>
      </c>
      <c r="K10137" s="5"/>
    </row>
    <row r="10138">
      <c r="A10138" s="3" t="s">
        <v>8594</v>
      </c>
      <c r="B10138" s="3" t="s">
        <v>8751</v>
      </c>
      <c r="C10138" s="3" t="s">
        <v>8971</v>
      </c>
      <c r="D10138" s="4" t="str">
        <f t="shared" si="1325"/>
        <v>12Go Link</v>
      </c>
      <c r="E10138" s="3" t="s">
        <v>3203</v>
      </c>
      <c r="K10138" s="5"/>
    </row>
    <row r="10139">
      <c r="A10139" s="3" t="s">
        <v>8594</v>
      </c>
      <c r="B10139" s="3" t="s">
        <v>8972</v>
      </c>
      <c r="C10139" s="3" t="s">
        <v>8973</v>
      </c>
      <c r="D10139" s="4" t="str">
        <f t="shared" ref="D10139:D10141" si="1326">HYPERLINK("https://12go.asia/en/travel/Adnan-Menderes-Airport/Mordogan-Hotel-Transfer", "12Go Link")</f>
        <v>12Go Link</v>
      </c>
      <c r="E10139" s="3" t="s">
        <v>3196</v>
      </c>
      <c r="K10139" s="5"/>
    </row>
    <row r="10140">
      <c r="A10140" s="3" t="s">
        <v>8594</v>
      </c>
      <c r="B10140" s="3" t="s">
        <v>8972</v>
      </c>
      <c r="C10140" s="3" t="s">
        <v>8973</v>
      </c>
      <c r="D10140" s="4" t="str">
        <f t="shared" si="1326"/>
        <v>12Go Link</v>
      </c>
      <c r="E10140" s="3" t="s">
        <v>226</v>
      </c>
      <c r="K10140" s="5"/>
    </row>
    <row r="10141">
      <c r="A10141" s="3" t="s">
        <v>8594</v>
      </c>
      <c r="B10141" s="3" t="s">
        <v>8972</v>
      </c>
      <c r="C10141" s="3" t="s">
        <v>8973</v>
      </c>
      <c r="D10141" s="4" t="str">
        <f t="shared" si="1326"/>
        <v>12Go Link</v>
      </c>
      <c r="E10141" s="3" t="s">
        <v>3203</v>
      </c>
      <c r="K10141" s="5"/>
    </row>
    <row r="10142">
      <c r="A10142" s="3" t="s">
        <v>8594</v>
      </c>
      <c r="B10142" s="3" t="s">
        <v>8974</v>
      </c>
      <c r="C10142" s="3" t="s">
        <v>8975</v>
      </c>
      <c r="D10142" s="4" t="str">
        <f t="shared" ref="D10142:D10144" si="1327">HYPERLINK("https://12go.asia/en/travel/Adnan-Menderes-Airport/Nazilli-Hotel-Transfer", "12Go Link")</f>
        <v>12Go Link</v>
      </c>
      <c r="E10142" s="3" t="s">
        <v>3196</v>
      </c>
      <c r="K10142" s="5"/>
    </row>
    <row r="10143">
      <c r="A10143" s="3" t="s">
        <v>8594</v>
      </c>
      <c r="B10143" s="3" t="s">
        <v>8974</v>
      </c>
      <c r="C10143" s="3" t="s">
        <v>8975</v>
      </c>
      <c r="D10143" s="4" t="str">
        <f t="shared" si="1327"/>
        <v>12Go Link</v>
      </c>
      <c r="E10143" s="3" t="s">
        <v>226</v>
      </c>
      <c r="K10143" s="5"/>
    </row>
    <row r="10144">
      <c r="A10144" s="3" t="s">
        <v>8594</v>
      </c>
      <c r="B10144" s="3" t="s">
        <v>8974</v>
      </c>
      <c r="C10144" s="3" t="s">
        <v>8975</v>
      </c>
      <c r="D10144" s="4" t="str">
        <f t="shared" si="1327"/>
        <v>12Go Link</v>
      </c>
      <c r="E10144" s="3" t="s">
        <v>3203</v>
      </c>
      <c r="K10144" s="5"/>
    </row>
    <row r="10145">
      <c r="A10145" s="3" t="s">
        <v>8594</v>
      </c>
      <c r="B10145" s="3" t="s">
        <v>8581</v>
      </c>
      <c r="C10145" s="3" t="s">
        <v>8976</v>
      </c>
      <c r="D10145" s="4" t="str">
        <f t="shared" ref="D10145:D10146" si="1328">HYPERLINK("https://12go.asia/en/travel/Izmir-Hotel-Transfer/Nevsehir-Hotel-Transfer", "12Go Link")</f>
        <v>12Go Link</v>
      </c>
      <c r="E10145" s="3" t="s">
        <v>8568</v>
      </c>
      <c r="K10145" s="5"/>
    </row>
    <row r="10146">
      <c r="A10146" s="3" t="s">
        <v>8594</v>
      </c>
      <c r="B10146" s="3" t="s">
        <v>8581</v>
      </c>
      <c r="C10146" s="3" t="s">
        <v>8976</v>
      </c>
      <c r="D10146" s="4" t="str">
        <f t="shared" si="1328"/>
        <v>12Go Link</v>
      </c>
      <c r="E10146" s="3" t="s">
        <v>228</v>
      </c>
      <c r="K10146" s="5"/>
    </row>
    <row r="10147">
      <c r="A10147" s="3" t="s">
        <v>8594</v>
      </c>
      <c r="B10147" s="3" t="s">
        <v>8584</v>
      </c>
      <c r="C10147" s="3" t="s">
        <v>8977</v>
      </c>
      <c r="D10147" s="4" t="str">
        <f t="shared" ref="D10147:D10148" si="1329">HYPERLINK("https://12go.asia/en/travel/Izmir-Hotel-Transfer/Ortahisar-Hotel-Transfer", "12Go Link")</f>
        <v>12Go Link</v>
      </c>
      <c r="E10147" s="3" t="s">
        <v>8568</v>
      </c>
      <c r="K10147" s="5"/>
    </row>
    <row r="10148">
      <c r="A10148" s="3" t="s">
        <v>8594</v>
      </c>
      <c r="B10148" s="3" t="s">
        <v>8584</v>
      </c>
      <c r="C10148" s="3" t="s">
        <v>8977</v>
      </c>
      <c r="D10148" s="4" t="str">
        <f t="shared" si="1329"/>
        <v>12Go Link</v>
      </c>
      <c r="E10148" s="3" t="s">
        <v>228</v>
      </c>
      <c r="K10148" s="5"/>
    </row>
    <row r="10149">
      <c r="A10149" s="3" t="s">
        <v>8594</v>
      </c>
      <c r="B10149" s="3" t="s">
        <v>8978</v>
      </c>
      <c r="C10149" s="3" t="s">
        <v>8979</v>
      </c>
      <c r="D10149" s="4" t="str">
        <f t="shared" ref="D10149:D10151" si="1330">HYPERLINK("https://12go.asia/en/travel/Adnan-Menderes-Airport/Ozdere-Hotel-Transfer", "12Go Link")</f>
        <v>12Go Link</v>
      </c>
      <c r="E10149" s="3" t="s">
        <v>3196</v>
      </c>
      <c r="K10149" s="5"/>
    </row>
    <row r="10150">
      <c r="A10150" s="3" t="s">
        <v>8594</v>
      </c>
      <c r="B10150" s="3" t="s">
        <v>8978</v>
      </c>
      <c r="C10150" s="3" t="s">
        <v>8979</v>
      </c>
      <c r="D10150" s="4" t="str">
        <f t="shared" si="1330"/>
        <v>12Go Link</v>
      </c>
      <c r="E10150" s="3" t="s">
        <v>226</v>
      </c>
      <c r="K10150" s="5"/>
    </row>
    <row r="10151">
      <c r="A10151" s="3" t="s">
        <v>8594</v>
      </c>
      <c r="B10151" s="3" t="s">
        <v>8978</v>
      </c>
      <c r="C10151" s="3" t="s">
        <v>8979</v>
      </c>
      <c r="D10151" s="4" t="str">
        <f t="shared" si="1330"/>
        <v>12Go Link</v>
      </c>
      <c r="E10151" s="3" t="s">
        <v>3203</v>
      </c>
      <c r="K10151" s="5"/>
    </row>
    <row r="10152">
      <c r="A10152" s="3" t="s">
        <v>8594</v>
      </c>
      <c r="B10152" s="3" t="s">
        <v>8816</v>
      </c>
      <c r="C10152" s="3" t="s">
        <v>8980</v>
      </c>
      <c r="D10152" s="4" t="str">
        <f t="shared" ref="D10152:D10154" si="1331">HYPERLINK("https://12go.asia/en/travel/Adnan-Menderes-Airport/Pamukkale-Hotel-Transfer", "12Go Link")</f>
        <v>12Go Link</v>
      </c>
      <c r="E10152" s="3" t="s">
        <v>3196</v>
      </c>
      <c r="K10152" s="5"/>
    </row>
    <row r="10153">
      <c r="A10153" s="3" t="s">
        <v>8594</v>
      </c>
      <c r="B10153" s="3" t="s">
        <v>8816</v>
      </c>
      <c r="C10153" s="3" t="s">
        <v>8980</v>
      </c>
      <c r="D10153" s="4" t="str">
        <f t="shared" si="1331"/>
        <v>12Go Link</v>
      </c>
      <c r="E10153" s="3" t="s">
        <v>226</v>
      </c>
      <c r="K10153" s="5"/>
    </row>
    <row r="10154">
      <c r="A10154" s="3" t="s">
        <v>8594</v>
      </c>
      <c r="B10154" s="3" t="s">
        <v>8816</v>
      </c>
      <c r="C10154" s="3" t="s">
        <v>8980</v>
      </c>
      <c r="D10154" s="4" t="str">
        <f t="shared" si="1331"/>
        <v>12Go Link</v>
      </c>
      <c r="E10154" s="3" t="s">
        <v>3203</v>
      </c>
      <c r="K10154" s="5"/>
    </row>
    <row r="10155">
      <c r="A10155" s="3" t="s">
        <v>8594</v>
      </c>
      <c r="B10155" s="3" t="s">
        <v>8981</v>
      </c>
      <c r="C10155" s="3" t="s">
        <v>8982</v>
      </c>
      <c r="D10155" s="4" t="str">
        <f t="shared" ref="D10155:D10157" si="1332">HYPERLINK("https://12go.asia/en/travel/Adnan-Menderes-Airport/Salihli-Hotel-Transfer", "12Go Link")</f>
        <v>12Go Link</v>
      </c>
      <c r="E10155" s="3" t="s">
        <v>3196</v>
      </c>
      <c r="K10155" s="5"/>
    </row>
    <row r="10156">
      <c r="A10156" s="3" t="s">
        <v>8594</v>
      </c>
      <c r="B10156" s="3" t="s">
        <v>8981</v>
      </c>
      <c r="C10156" s="3" t="s">
        <v>8982</v>
      </c>
      <c r="D10156" s="4" t="str">
        <f t="shared" si="1332"/>
        <v>12Go Link</v>
      </c>
      <c r="E10156" s="3" t="s">
        <v>226</v>
      </c>
      <c r="K10156" s="5"/>
    </row>
    <row r="10157">
      <c r="A10157" s="3" t="s">
        <v>8594</v>
      </c>
      <c r="B10157" s="3" t="s">
        <v>8981</v>
      </c>
      <c r="C10157" s="3" t="s">
        <v>8982</v>
      </c>
      <c r="D10157" s="4" t="str">
        <f t="shared" si="1332"/>
        <v>12Go Link</v>
      </c>
      <c r="E10157" s="3" t="s">
        <v>3203</v>
      </c>
      <c r="K10157" s="5"/>
    </row>
    <row r="10158">
      <c r="A10158" s="3" t="s">
        <v>8594</v>
      </c>
      <c r="B10158" s="3" t="s">
        <v>8983</v>
      </c>
      <c r="C10158" s="3" t="s">
        <v>8984</v>
      </c>
      <c r="D10158" s="4" t="str">
        <f t="shared" ref="D10158:D10160" si="1333">HYPERLINK("https://12go.asia/en/travel/Adnan-Menderes-Airport/Seferihisar-Hotel-Transfer", "12Go Link")</f>
        <v>12Go Link</v>
      </c>
      <c r="E10158" s="3" t="s">
        <v>3196</v>
      </c>
      <c r="K10158" s="5"/>
    </row>
    <row r="10159">
      <c r="A10159" s="3" t="s">
        <v>8594</v>
      </c>
      <c r="B10159" s="3" t="s">
        <v>8983</v>
      </c>
      <c r="C10159" s="3" t="s">
        <v>8984</v>
      </c>
      <c r="D10159" s="4" t="str">
        <f t="shared" si="1333"/>
        <v>12Go Link</v>
      </c>
      <c r="E10159" s="3" t="s">
        <v>226</v>
      </c>
      <c r="K10159" s="5"/>
    </row>
    <row r="10160">
      <c r="A10160" s="3" t="s">
        <v>8594</v>
      </c>
      <c r="B10160" s="3" t="s">
        <v>8983</v>
      </c>
      <c r="C10160" s="3" t="s">
        <v>8984</v>
      </c>
      <c r="D10160" s="4" t="str">
        <f t="shared" si="1333"/>
        <v>12Go Link</v>
      </c>
      <c r="E10160" s="3" t="s">
        <v>3203</v>
      </c>
      <c r="K10160" s="5"/>
    </row>
    <row r="10161">
      <c r="A10161" s="3" t="s">
        <v>8594</v>
      </c>
      <c r="B10161" s="3" t="s">
        <v>8985</v>
      </c>
      <c r="C10161" s="3" t="s">
        <v>8986</v>
      </c>
      <c r="D10161" s="4" t="str">
        <f t="shared" ref="D10161:D10163" si="1334">HYPERLINK("https://12go.asia/en/travel/Adnan-Menderes-Airport/Pamucak-Beach", "12Go Link")</f>
        <v>12Go Link</v>
      </c>
      <c r="E10161" s="3" t="s">
        <v>3196</v>
      </c>
      <c r="K10161" s="5"/>
    </row>
    <row r="10162">
      <c r="A10162" s="3" t="s">
        <v>8594</v>
      </c>
      <c r="B10162" s="3" t="s">
        <v>8985</v>
      </c>
      <c r="C10162" s="3" t="s">
        <v>8986</v>
      </c>
      <c r="D10162" s="4" t="str">
        <f t="shared" si="1334"/>
        <v>12Go Link</v>
      </c>
      <c r="E10162" s="3" t="s">
        <v>226</v>
      </c>
      <c r="K10162" s="5"/>
    </row>
    <row r="10163">
      <c r="A10163" s="3" t="s">
        <v>8594</v>
      </c>
      <c r="B10163" s="3" t="s">
        <v>8985</v>
      </c>
      <c r="C10163" s="3" t="s">
        <v>8986</v>
      </c>
      <c r="D10163" s="4" t="str">
        <f t="shared" si="1334"/>
        <v>12Go Link</v>
      </c>
      <c r="E10163" s="3" t="s">
        <v>3203</v>
      </c>
      <c r="K10163" s="5"/>
    </row>
    <row r="10164">
      <c r="A10164" s="3" t="s">
        <v>8594</v>
      </c>
      <c r="B10164" s="3" t="s">
        <v>8985</v>
      </c>
      <c r="C10164" s="3" t="s">
        <v>8987</v>
      </c>
      <c r="D10164" s="4" t="str">
        <f t="shared" ref="D10164:D10166" si="1335">HYPERLINK("https://12go.asia/en/travel/Adnan-Menderes-Airport/Selcuk-Hotel-Transfer", "12Go Link")</f>
        <v>12Go Link</v>
      </c>
      <c r="E10164" s="3" t="s">
        <v>3196</v>
      </c>
      <c r="K10164" s="5"/>
    </row>
    <row r="10165">
      <c r="A10165" s="3" t="s">
        <v>8594</v>
      </c>
      <c r="B10165" s="3" t="s">
        <v>8985</v>
      </c>
      <c r="C10165" s="3" t="s">
        <v>8987</v>
      </c>
      <c r="D10165" s="4" t="str">
        <f t="shared" si="1335"/>
        <v>12Go Link</v>
      </c>
      <c r="E10165" s="3" t="s">
        <v>226</v>
      </c>
      <c r="K10165" s="5"/>
    </row>
    <row r="10166">
      <c r="A10166" s="3" t="s">
        <v>8594</v>
      </c>
      <c r="B10166" s="3" t="s">
        <v>8985</v>
      </c>
      <c r="C10166" s="3" t="s">
        <v>8987</v>
      </c>
      <c r="D10166" s="4" t="str">
        <f t="shared" si="1335"/>
        <v>12Go Link</v>
      </c>
      <c r="E10166" s="3" t="s">
        <v>3203</v>
      </c>
      <c r="K10166" s="5"/>
    </row>
    <row r="10167">
      <c r="A10167" s="3" t="s">
        <v>8594</v>
      </c>
      <c r="B10167" s="3" t="s">
        <v>8988</v>
      </c>
      <c r="C10167" s="3" t="s">
        <v>8989</v>
      </c>
      <c r="D10167" s="4" t="str">
        <f t="shared" ref="D10167:D10169" si="1336">HYPERLINK("https://12go.asia/en/travel/Adnan-Menderes-Airport/Sigacik-Hotel-Transfer", "12Go Link")</f>
        <v>12Go Link</v>
      </c>
      <c r="E10167" s="3" t="s">
        <v>3196</v>
      </c>
      <c r="K10167" s="5"/>
    </row>
    <row r="10168">
      <c r="A10168" s="3" t="s">
        <v>8594</v>
      </c>
      <c r="B10168" s="3" t="s">
        <v>8988</v>
      </c>
      <c r="C10168" s="3" t="s">
        <v>8989</v>
      </c>
      <c r="D10168" s="4" t="str">
        <f t="shared" si="1336"/>
        <v>12Go Link</v>
      </c>
      <c r="E10168" s="3" t="s">
        <v>226</v>
      </c>
      <c r="K10168" s="5"/>
    </row>
    <row r="10169">
      <c r="A10169" s="3" t="s">
        <v>8594</v>
      </c>
      <c r="B10169" s="3" t="s">
        <v>8988</v>
      </c>
      <c r="C10169" s="3" t="s">
        <v>8989</v>
      </c>
      <c r="D10169" s="4" t="str">
        <f t="shared" si="1336"/>
        <v>12Go Link</v>
      </c>
      <c r="E10169" s="3" t="s">
        <v>3203</v>
      </c>
      <c r="K10169" s="5"/>
    </row>
    <row r="10170">
      <c r="A10170" s="3" t="s">
        <v>8594</v>
      </c>
      <c r="B10170" s="3" t="s">
        <v>8990</v>
      </c>
      <c r="C10170" s="3" t="s">
        <v>8991</v>
      </c>
      <c r="D10170" s="4" t="str">
        <f t="shared" ref="D10170:D10172" si="1337">HYPERLINK("https://12go.asia/en/travel/Adnan-Menderes-Airport/Sogucak-Hotel-Transfer", "12Go Link")</f>
        <v>12Go Link</v>
      </c>
      <c r="E10170" s="3" t="s">
        <v>3196</v>
      </c>
      <c r="K10170" s="5"/>
    </row>
    <row r="10171">
      <c r="A10171" s="3" t="s">
        <v>8594</v>
      </c>
      <c r="B10171" s="3" t="s">
        <v>8990</v>
      </c>
      <c r="C10171" s="3" t="s">
        <v>8991</v>
      </c>
      <c r="D10171" s="4" t="str">
        <f t="shared" si="1337"/>
        <v>12Go Link</v>
      </c>
      <c r="E10171" s="3" t="s">
        <v>226</v>
      </c>
      <c r="K10171" s="5"/>
    </row>
    <row r="10172">
      <c r="A10172" s="3" t="s">
        <v>8594</v>
      </c>
      <c r="B10172" s="3" t="s">
        <v>8990</v>
      </c>
      <c r="C10172" s="3" t="s">
        <v>8991</v>
      </c>
      <c r="D10172" s="4" t="str">
        <f t="shared" si="1337"/>
        <v>12Go Link</v>
      </c>
      <c r="E10172" s="3" t="s">
        <v>3203</v>
      </c>
      <c r="K10172" s="5"/>
    </row>
    <row r="10173">
      <c r="A10173" s="3" t="s">
        <v>8594</v>
      </c>
      <c r="B10173" s="3" t="s">
        <v>8992</v>
      </c>
      <c r="C10173" s="3" t="s">
        <v>8993</v>
      </c>
      <c r="D10173" s="4" t="str">
        <f t="shared" ref="D10173:D10175" si="1338">HYPERLINK("https://12go.asia/en/travel/Adnan-Menderes-Airport/Soke-Hotel-Transfer", "12Go Link")</f>
        <v>12Go Link</v>
      </c>
      <c r="E10173" s="3" t="s">
        <v>3196</v>
      </c>
      <c r="K10173" s="5"/>
    </row>
    <row r="10174">
      <c r="A10174" s="3" t="s">
        <v>8594</v>
      </c>
      <c r="B10174" s="3" t="s">
        <v>8992</v>
      </c>
      <c r="C10174" s="3" t="s">
        <v>8993</v>
      </c>
      <c r="D10174" s="4" t="str">
        <f t="shared" si="1338"/>
        <v>12Go Link</v>
      </c>
      <c r="E10174" s="3" t="s">
        <v>226</v>
      </c>
      <c r="K10174" s="5"/>
    </row>
    <row r="10175">
      <c r="A10175" s="3" t="s">
        <v>8594</v>
      </c>
      <c r="B10175" s="3" t="s">
        <v>8992</v>
      </c>
      <c r="C10175" s="3" t="s">
        <v>8993</v>
      </c>
      <c r="D10175" s="4" t="str">
        <f t="shared" si="1338"/>
        <v>12Go Link</v>
      </c>
      <c r="E10175" s="3" t="s">
        <v>3203</v>
      </c>
      <c r="K10175" s="5"/>
    </row>
    <row r="10176">
      <c r="A10176" s="3" t="s">
        <v>8594</v>
      </c>
      <c r="B10176" s="3" t="s">
        <v>8994</v>
      </c>
      <c r="C10176" s="3" t="s">
        <v>8995</v>
      </c>
      <c r="D10176" s="4" t="str">
        <f t="shared" ref="D10176:D10178" si="1339">HYPERLINK("https://12go.asia/en/travel/Adnan-Menderes-Airport/Torba-Hotel-Transfer", "12Go Link")</f>
        <v>12Go Link</v>
      </c>
      <c r="E10176" s="3" t="s">
        <v>3196</v>
      </c>
      <c r="K10176" s="5"/>
    </row>
    <row r="10177">
      <c r="A10177" s="3" t="s">
        <v>8594</v>
      </c>
      <c r="B10177" s="3" t="s">
        <v>8994</v>
      </c>
      <c r="C10177" s="3" t="s">
        <v>8995</v>
      </c>
      <c r="D10177" s="4" t="str">
        <f t="shared" si="1339"/>
        <v>12Go Link</v>
      </c>
      <c r="E10177" s="3" t="s">
        <v>226</v>
      </c>
      <c r="K10177" s="5"/>
    </row>
    <row r="10178">
      <c r="A10178" s="3" t="s">
        <v>8594</v>
      </c>
      <c r="B10178" s="3" t="s">
        <v>8994</v>
      </c>
      <c r="C10178" s="3" t="s">
        <v>8995</v>
      </c>
      <c r="D10178" s="4" t="str">
        <f t="shared" si="1339"/>
        <v>12Go Link</v>
      </c>
      <c r="E10178" s="3" t="s">
        <v>3203</v>
      </c>
      <c r="K10178" s="5"/>
    </row>
    <row r="10179">
      <c r="A10179" s="3" t="s">
        <v>8594</v>
      </c>
      <c r="B10179" s="3" t="s">
        <v>8996</v>
      </c>
      <c r="C10179" s="3" t="s">
        <v>8997</v>
      </c>
      <c r="D10179" s="4" t="str">
        <f t="shared" ref="D10179:D10181" si="1340">HYPERLINK("https://12go.asia/en/travel/Adnan-Menderes-Airport/Torbali-Hotel-Transfer", "12Go Link")</f>
        <v>12Go Link</v>
      </c>
      <c r="E10179" s="3" t="s">
        <v>3196</v>
      </c>
      <c r="K10179" s="5"/>
    </row>
    <row r="10180">
      <c r="A10180" s="3" t="s">
        <v>8594</v>
      </c>
      <c r="B10180" s="3" t="s">
        <v>8996</v>
      </c>
      <c r="C10180" s="3" t="s">
        <v>8997</v>
      </c>
      <c r="D10180" s="4" t="str">
        <f t="shared" si="1340"/>
        <v>12Go Link</v>
      </c>
      <c r="E10180" s="3" t="s">
        <v>226</v>
      </c>
      <c r="K10180" s="5"/>
    </row>
    <row r="10181">
      <c r="A10181" s="3" t="s">
        <v>8594</v>
      </c>
      <c r="B10181" s="3" t="s">
        <v>8996</v>
      </c>
      <c r="C10181" s="3" t="s">
        <v>8997</v>
      </c>
      <c r="D10181" s="4" t="str">
        <f t="shared" si="1340"/>
        <v>12Go Link</v>
      </c>
      <c r="E10181" s="3" t="s">
        <v>3203</v>
      </c>
      <c r="K10181" s="5"/>
    </row>
    <row r="10182">
      <c r="A10182" s="3" t="s">
        <v>8594</v>
      </c>
      <c r="B10182" s="3" t="s">
        <v>8998</v>
      </c>
      <c r="C10182" s="3" t="s">
        <v>8999</v>
      </c>
      <c r="D10182" s="4" t="str">
        <f t="shared" ref="D10182:D10184" si="1341">HYPERLINK("https://12go.asia/en/travel/Adnan-Menderes-Airport/Turgutreis-Hotel-Transfer", "12Go Link")</f>
        <v>12Go Link</v>
      </c>
      <c r="E10182" s="3" t="s">
        <v>3196</v>
      </c>
      <c r="K10182" s="5"/>
    </row>
    <row r="10183">
      <c r="A10183" s="3" t="s">
        <v>8594</v>
      </c>
      <c r="B10183" s="3" t="s">
        <v>8998</v>
      </c>
      <c r="C10183" s="3" t="s">
        <v>8999</v>
      </c>
      <c r="D10183" s="4" t="str">
        <f t="shared" si="1341"/>
        <v>12Go Link</v>
      </c>
      <c r="E10183" s="3" t="s">
        <v>226</v>
      </c>
      <c r="K10183" s="5"/>
    </row>
    <row r="10184">
      <c r="A10184" s="3" t="s">
        <v>8594</v>
      </c>
      <c r="B10184" s="3" t="s">
        <v>8998</v>
      </c>
      <c r="C10184" s="3" t="s">
        <v>8999</v>
      </c>
      <c r="D10184" s="4" t="str">
        <f t="shared" si="1341"/>
        <v>12Go Link</v>
      </c>
      <c r="E10184" s="3" t="s">
        <v>3203</v>
      </c>
      <c r="K10184" s="5"/>
    </row>
    <row r="10185">
      <c r="A10185" s="3" t="s">
        <v>8594</v>
      </c>
      <c r="B10185" s="3" t="s">
        <v>8587</v>
      </c>
      <c r="C10185" s="3" t="s">
        <v>9000</v>
      </c>
      <c r="D10185" s="4" t="str">
        <f t="shared" ref="D10185:D10186" si="1342">HYPERLINK("https://12go.asia/en/travel/Izmir-Hotel-Transfer/Uchisar-Hotel-Transfer", "12Go Link")</f>
        <v>12Go Link</v>
      </c>
      <c r="E10185" s="3" t="s">
        <v>8568</v>
      </c>
      <c r="K10185" s="5"/>
    </row>
    <row r="10186">
      <c r="A10186" s="3" t="s">
        <v>8594</v>
      </c>
      <c r="B10186" s="3" t="s">
        <v>8587</v>
      </c>
      <c r="C10186" s="3" t="s">
        <v>9000</v>
      </c>
      <c r="D10186" s="4" t="str">
        <f t="shared" si="1342"/>
        <v>12Go Link</v>
      </c>
      <c r="E10186" s="3" t="s">
        <v>228</v>
      </c>
      <c r="K10186" s="5"/>
    </row>
    <row r="10187">
      <c r="A10187" s="3" t="s">
        <v>8594</v>
      </c>
      <c r="B10187" s="3" t="s">
        <v>8590</v>
      </c>
      <c r="C10187" s="3" t="s">
        <v>9001</v>
      </c>
      <c r="D10187" s="4" t="str">
        <f t="shared" ref="D10187:D10188" si="1343">HYPERLINK("https://12go.asia/en/travel/Izmir-Hotel-Transfer/Urgup-Hotel-Transfer", "12Go Link")</f>
        <v>12Go Link</v>
      </c>
      <c r="E10187" s="3" t="s">
        <v>8568</v>
      </c>
      <c r="K10187" s="5"/>
    </row>
    <row r="10188">
      <c r="A10188" s="3" t="s">
        <v>8594</v>
      </c>
      <c r="B10188" s="3" t="s">
        <v>8590</v>
      </c>
      <c r="C10188" s="3" t="s">
        <v>9001</v>
      </c>
      <c r="D10188" s="4" t="str">
        <f t="shared" si="1343"/>
        <v>12Go Link</v>
      </c>
      <c r="E10188" s="3" t="s">
        <v>228</v>
      </c>
      <c r="K10188" s="5"/>
    </row>
    <row r="10189">
      <c r="A10189" s="3" t="s">
        <v>8594</v>
      </c>
      <c r="B10189" s="3" t="s">
        <v>9002</v>
      </c>
      <c r="C10189" s="3" t="s">
        <v>9003</v>
      </c>
      <c r="D10189" s="4" t="str">
        <f t="shared" ref="D10189:D10191" si="1344">HYPERLINK("https://12go.asia/en/travel/Adnan-Menderes-Airport/Urla-Hotel-Transfer", "12Go Link")</f>
        <v>12Go Link</v>
      </c>
      <c r="E10189" s="3" t="s">
        <v>3196</v>
      </c>
      <c r="K10189" s="5"/>
    </row>
    <row r="10190">
      <c r="A10190" s="3" t="s">
        <v>8594</v>
      </c>
      <c r="B10190" s="3" t="s">
        <v>9002</v>
      </c>
      <c r="C10190" s="3" t="s">
        <v>9003</v>
      </c>
      <c r="D10190" s="4" t="str">
        <f t="shared" si="1344"/>
        <v>12Go Link</v>
      </c>
      <c r="E10190" s="3" t="s">
        <v>226</v>
      </c>
      <c r="K10190" s="5"/>
    </row>
    <row r="10191">
      <c r="A10191" s="3" t="s">
        <v>8594</v>
      </c>
      <c r="B10191" s="3" t="s">
        <v>9002</v>
      </c>
      <c r="C10191" s="3" t="s">
        <v>9003</v>
      </c>
      <c r="D10191" s="4" t="str">
        <f t="shared" si="1344"/>
        <v>12Go Link</v>
      </c>
      <c r="E10191" s="3" t="s">
        <v>3203</v>
      </c>
      <c r="K10191" s="5"/>
    </row>
    <row r="10192">
      <c r="A10192" s="3" t="s">
        <v>8594</v>
      </c>
      <c r="B10192" s="3" t="s">
        <v>9004</v>
      </c>
      <c r="C10192" s="3" t="s">
        <v>9005</v>
      </c>
      <c r="D10192" s="4" t="str">
        <f t="shared" ref="D10192:D10194" si="1345">HYPERLINK("https://12go.asia/en/travel/Adnan-Menderes-Airport/Yalikavak-Hotel-Transfer", "12Go Link")</f>
        <v>12Go Link</v>
      </c>
      <c r="E10192" s="3" t="s">
        <v>3196</v>
      </c>
      <c r="K10192" s="5"/>
    </row>
    <row r="10193">
      <c r="A10193" s="3" t="s">
        <v>8594</v>
      </c>
      <c r="B10193" s="3" t="s">
        <v>9004</v>
      </c>
      <c r="C10193" s="3" t="s">
        <v>9005</v>
      </c>
      <c r="D10193" s="4" t="str">
        <f t="shared" si="1345"/>
        <v>12Go Link</v>
      </c>
      <c r="E10193" s="3" t="s">
        <v>226</v>
      </c>
      <c r="K10193" s="5"/>
    </row>
    <row r="10194">
      <c r="A10194" s="3" t="s">
        <v>8594</v>
      </c>
      <c r="B10194" s="3" t="s">
        <v>9004</v>
      </c>
      <c r="C10194" s="3" t="s">
        <v>9005</v>
      </c>
      <c r="D10194" s="4" t="str">
        <f t="shared" si="1345"/>
        <v>12Go Link</v>
      </c>
      <c r="E10194" s="3" t="s">
        <v>3203</v>
      </c>
      <c r="K10194" s="5"/>
    </row>
    <row r="10195">
      <c r="A10195" s="3" t="s">
        <v>8594</v>
      </c>
      <c r="B10195" s="3" t="s">
        <v>9006</v>
      </c>
      <c r="C10195" s="3" t="s">
        <v>9007</v>
      </c>
      <c r="D10195" s="4" t="str">
        <f t="shared" ref="D10195:D10197" si="1346">HYPERLINK("https://12go.asia/en/travel/Adnan-Menderes-Airport/Yalikoy-Hotel-Transfer", "12Go Link")</f>
        <v>12Go Link</v>
      </c>
      <c r="E10195" s="3" t="s">
        <v>3196</v>
      </c>
      <c r="K10195" s="5"/>
    </row>
    <row r="10196">
      <c r="A10196" s="3" t="s">
        <v>8594</v>
      </c>
      <c r="B10196" s="3" t="s">
        <v>9006</v>
      </c>
      <c r="C10196" s="3" t="s">
        <v>9007</v>
      </c>
      <c r="D10196" s="4" t="str">
        <f t="shared" si="1346"/>
        <v>12Go Link</v>
      </c>
      <c r="E10196" s="3" t="s">
        <v>226</v>
      </c>
      <c r="K10196" s="5"/>
    </row>
    <row r="10197">
      <c r="A10197" s="3" t="s">
        <v>8594</v>
      </c>
      <c r="B10197" s="3" t="s">
        <v>9006</v>
      </c>
      <c r="C10197" s="3" t="s">
        <v>9007</v>
      </c>
      <c r="D10197" s="4" t="str">
        <f t="shared" si="1346"/>
        <v>12Go Link</v>
      </c>
      <c r="E10197" s="3" t="s">
        <v>3203</v>
      </c>
      <c r="K10197" s="5"/>
    </row>
    <row r="10198">
      <c r="A10198" s="3" t="s">
        <v>8733</v>
      </c>
      <c r="B10198" s="3" t="s">
        <v>8563</v>
      </c>
      <c r="C10198" s="3" t="s">
        <v>9008</v>
      </c>
      <c r="D10198" s="4" t="str">
        <f t="shared" ref="D10198:D10200" si="1347">HYPERLINK("https://12go.asia/en/travel/Kabak-Hotel-Transfer/Dalaman-Airport", "12Go Link")</f>
        <v>12Go Link</v>
      </c>
      <c r="E10198" s="3" t="s">
        <v>3196</v>
      </c>
      <c r="K10198" s="5"/>
    </row>
    <row r="10199">
      <c r="A10199" s="3" t="s">
        <v>8733</v>
      </c>
      <c r="B10199" s="3" t="s">
        <v>8563</v>
      </c>
      <c r="C10199" s="3" t="s">
        <v>9008</v>
      </c>
      <c r="D10199" s="4" t="str">
        <f t="shared" si="1347"/>
        <v>12Go Link</v>
      </c>
      <c r="E10199" s="3" t="s">
        <v>226</v>
      </c>
      <c r="K10199" s="5"/>
    </row>
    <row r="10200">
      <c r="A10200" s="3" t="s">
        <v>8733</v>
      </c>
      <c r="B10200" s="3" t="s">
        <v>8563</v>
      </c>
      <c r="C10200" s="3" t="s">
        <v>9008</v>
      </c>
      <c r="D10200" s="4" t="str">
        <f t="shared" si="1347"/>
        <v>12Go Link</v>
      </c>
      <c r="E10200" s="3" t="s">
        <v>3203</v>
      </c>
      <c r="K10200" s="5"/>
    </row>
    <row r="10201">
      <c r="A10201" s="3" t="s">
        <v>8735</v>
      </c>
      <c r="B10201" s="3" t="s">
        <v>8563</v>
      </c>
      <c r="C10201" s="3" t="s">
        <v>9009</v>
      </c>
      <c r="D10201" s="4" t="str">
        <f t="shared" ref="D10201:D10203" si="1348">HYPERLINK("https://12go.asia/en/travel/Ucagiz-Kekova-Castle/Dalaman-Airport", "12Go Link")</f>
        <v>12Go Link</v>
      </c>
      <c r="E10201" s="3" t="s">
        <v>3196</v>
      </c>
      <c r="K10201" s="5"/>
    </row>
    <row r="10202">
      <c r="A10202" s="3" t="s">
        <v>8735</v>
      </c>
      <c r="B10202" s="3" t="s">
        <v>8563</v>
      </c>
      <c r="C10202" s="3" t="s">
        <v>9009</v>
      </c>
      <c r="D10202" s="4" t="str">
        <f t="shared" si="1348"/>
        <v>12Go Link</v>
      </c>
      <c r="E10202" s="3" t="s">
        <v>226</v>
      </c>
      <c r="K10202" s="5"/>
    </row>
    <row r="10203">
      <c r="A10203" s="3" t="s">
        <v>8735</v>
      </c>
      <c r="B10203" s="3" t="s">
        <v>8563</v>
      </c>
      <c r="C10203" s="3" t="s">
        <v>9009</v>
      </c>
      <c r="D10203" s="4" t="str">
        <f t="shared" si="1348"/>
        <v>12Go Link</v>
      </c>
      <c r="E10203" s="3" t="s">
        <v>3203</v>
      </c>
      <c r="K10203" s="5"/>
    </row>
    <row r="10204">
      <c r="A10204" s="3" t="s">
        <v>8737</v>
      </c>
      <c r="B10204" s="3" t="s">
        <v>8563</v>
      </c>
      <c r="C10204" s="3" t="s">
        <v>9010</v>
      </c>
      <c r="D10204" s="4" t="str">
        <f t="shared" ref="D10204:D10206" si="1349">HYPERLINK("https://12go.asia/en/travel/Kalkan-Hotel-Transfer/Dalaman-Airport", "12Go Link")</f>
        <v>12Go Link</v>
      </c>
      <c r="E10204" s="3" t="s">
        <v>3196</v>
      </c>
      <c r="K10204" s="5"/>
    </row>
    <row r="10205">
      <c r="A10205" s="3" t="s">
        <v>8737</v>
      </c>
      <c r="B10205" s="3" t="s">
        <v>8563</v>
      </c>
      <c r="C10205" s="3" t="s">
        <v>9010</v>
      </c>
      <c r="D10205" s="4" t="str">
        <f t="shared" si="1349"/>
        <v>12Go Link</v>
      </c>
      <c r="E10205" s="3" t="s">
        <v>226</v>
      </c>
      <c r="K10205" s="5"/>
    </row>
    <row r="10206">
      <c r="A10206" s="3" t="s">
        <v>8737</v>
      </c>
      <c r="B10206" s="3" t="s">
        <v>8563</v>
      </c>
      <c r="C10206" s="3" t="s">
        <v>9010</v>
      </c>
      <c r="D10206" s="4" t="str">
        <f t="shared" si="1349"/>
        <v>12Go Link</v>
      </c>
      <c r="E10206" s="3" t="s">
        <v>3203</v>
      </c>
      <c r="K10206" s="5"/>
    </row>
    <row r="10207">
      <c r="A10207" s="3" t="s">
        <v>8739</v>
      </c>
      <c r="B10207" s="3" t="s">
        <v>8563</v>
      </c>
      <c r="C10207" s="3" t="s">
        <v>9011</v>
      </c>
      <c r="D10207" s="4" t="str">
        <f t="shared" ref="D10207:D10209" si="1350">HYPERLINK("https://12go.asia/en/travel/Kapikargin-Hotel-Transfer/Dalaman-Airport", "12Go Link")</f>
        <v>12Go Link</v>
      </c>
      <c r="E10207" s="3" t="s">
        <v>3196</v>
      </c>
      <c r="K10207" s="5"/>
    </row>
    <row r="10208">
      <c r="A10208" s="3" t="s">
        <v>8739</v>
      </c>
      <c r="B10208" s="3" t="s">
        <v>8563</v>
      </c>
      <c r="C10208" s="3" t="s">
        <v>9011</v>
      </c>
      <c r="D10208" s="4" t="str">
        <f t="shared" si="1350"/>
        <v>12Go Link</v>
      </c>
      <c r="E10208" s="3" t="s">
        <v>226</v>
      </c>
      <c r="K10208" s="5"/>
    </row>
    <row r="10209">
      <c r="A10209" s="3" t="s">
        <v>8739</v>
      </c>
      <c r="B10209" s="3" t="s">
        <v>8563</v>
      </c>
      <c r="C10209" s="3" t="s">
        <v>9011</v>
      </c>
      <c r="D10209" s="4" t="str">
        <f t="shared" si="1350"/>
        <v>12Go Link</v>
      </c>
      <c r="E10209" s="3" t="s">
        <v>3203</v>
      </c>
      <c r="K10209" s="5"/>
    </row>
    <row r="10210">
      <c r="A10210" s="3" t="s">
        <v>8963</v>
      </c>
      <c r="B10210" s="3" t="s">
        <v>8594</v>
      </c>
      <c r="C10210" s="3" t="s">
        <v>9012</v>
      </c>
      <c r="D10210" s="4" t="str">
        <f t="shared" ref="D10210:D10212" si="1351">HYPERLINK("https://12go.asia/en/travel/Karaburun-Hotel-Transfer/Adnan-Menderes-Airport", "12Go Link")</f>
        <v>12Go Link</v>
      </c>
      <c r="E10210" s="3" t="s">
        <v>3196</v>
      </c>
      <c r="K10210" s="5"/>
    </row>
    <row r="10211">
      <c r="A10211" s="3" t="s">
        <v>8963</v>
      </c>
      <c r="B10211" s="3" t="s">
        <v>8594</v>
      </c>
      <c r="C10211" s="3" t="s">
        <v>9012</v>
      </c>
      <c r="D10211" s="4" t="str">
        <f t="shared" si="1351"/>
        <v>12Go Link</v>
      </c>
      <c r="E10211" s="3" t="s">
        <v>226</v>
      </c>
      <c r="K10211" s="5"/>
    </row>
    <row r="10212">
      <c r="A10212" s="3" t="s">
        <v>8963</v>
      </c>
      <c r="B10212" s="3" t="s">
        <v>8594</v>
      </c>
      <c r="C10212" s="3" t="s">
        <v>9012</v>
      </c>
      <c r="D10212" s="4" t="str">
        <f t="shared" si="1351"/>
        <v>12Go Link</v>
      </c>
      <c r="E10212" s="3" t="s">
        <v>3203</v>
      </c>
      <c r="K10212" s="5"/>
    </row>
    <row r="10213">
      <c r="A10213" s="3" t="s">
        <v>8741</v>
      </c>
      <c r="B10213" s="3" t="s">
        <v>8563</v>
      </c>
      <c r="C10213" s="3" t="s">
        <v>9013</v>
      </c>
      <c r="D10213" s="4" t="str">
        <f t="shared" ref="D10213:D10215" si="1352">HYPERLINK("https://12go.asia/en/travel/Karaca-Hotel-Transfer/Dalaman-Airport", "12Go Link")</f>
        <v>12Go Link</v>
      </c>
      <c r="E10213" s="3" t="s">
        <v>3196</v>
      </c>
      <c r="K10213" s="5"/>
    </row>
    <row r="10214">
      <c r="A10214" s="3" t="s">
        <v>8741</v>
      </c>
      <c r="B10214" s="3" t="s">
        <v>8563</v>
      </c>
      <c r="C10214" s="3" t="s">
        <v>9013</v>
      </c>
      <c r="D10214" s="4" t="str">
        <f t="shared" si="1352"/>
        <v>12Go Link</v>
      </c>
      <c r="E10214" s="3" t="s">
        <v>226</v>
      </c>
      <c r="K10214" s="5"/>
    </row>
    <row r="10215">
      <c r="A10215" s="3" t="s">
        <v>8741</v>
      </c>
      <c r="B10215" s="3" t="s">
        <v>8563</v>
      </c>
      <c r="C10215" s="3" t="s">
        <v>9013</v>
      </c>
      <c r="D10215" s="4" t="str">
        <f t="shared" si="1352"/>
        <v>12Go Link</v>
      </c>
      <c r="E10215" s="3" t="s">
        <v>3203</v>
      </c>
      <c r="K10215" s="5"/>
    </row>
    <row r="10216">
      <c r="A10216" s="3" t="s">
        <v>8743</v>
      </c>
      <c r="B10216" s="3" t="s">
        <v>8563</v>
      </c>
      <c r="C10216" s="3" t="s">
        <v>9014</v>
      </c>
      <c r="D10216" s="4" t="str">
        <f t="shared" ref="D10216:D10218" si="1353">HYPERLINK("https://12go.asia/en/travel/Kas-Hotel-Transfer/Dalaman-Airport", "12Go Link")</f>
        <v>12Go Link</v>
      </c>
      <c r="E10216" s="3" t="s">
        <v>3196</v>
      </c>
      <c r="K10216" s="5"/>
    </row>
    <row r="10217">
      <c r="A10217" s="3" t="s">
        <v>8743</v>
      </c>
      <c r="B10217" s="3" t="s">
        <v>8563</v>
      </c>
      <c r="C10217" s="3" t="s">
        <v>9014</v>
      </c>
      <c r="D10217" s="4" t="str">
        <f t="shared" si="1353"/>
        <v>12Go Link</v>
      </c>
      <c r="E10217" s="3" t="s">
        <v>226</v>
      </c>
      <c r="K10217" s="5"/>
    </row>
    <row r="10218">
      <c r="A10218" s="3" t="s">
        <v>8743</v>
      </c>
      <c r="B10218" s="3" t="s">
        <v>8563</v>
      </c>
      <c r="C10218" s="3" t="s">
        <v>9014</v>
      </c>
      <c r="D10218" s="4" t="str">
        <f t="shared" si="1353"/>
        <v>12Go Link</v>
      </c>
      <c r="E10218" s="3" t="s">
        <v>3203</v>
      </c>
      <c r="K10218" s="5"/>
    </row>
    <row r="10219">
      <c r="A10219" s="3" t="s">
        <v>8745</v>
      </c>
      <c r="B10219" s="3" t="s">
        <v>8563</v>
      </c>
      <c r="C10219" s="3" t="s">
        <v>9015</v>
      </c>
      <c r="D10219" s="4" t="str">
        <f t="shared" ref="D10219:D10221" si="1354">HYPERLINK("https://12go.asia/en/travel/Kayakoy-Hotel-Transfer/Dalaman-Airport", "12Go Link")</f>
        <v>12Go Link</v>
      </c>
      <c r="E10219" s="3" t="s">
        <v>3196</v>
      </c>
      <c r="K10219" s="5"/>
    </row>
    <row r="10220">
      <c r="A10220" s="3" t="s">
        <v>8745</v>
      </c>
      <c r="B10220" s="3" t="s">
        <v>8563</v>
      </c>
      <c r="C10220" s="3" t="s">
        <v>9015</v>
      </c>
      <c r="D10220" s="4" t="str">
        <f t="shared" si="1354"/>
        <v>12Go Link</v>
      </c>
      <c r="E10220" s="3" t="s">
        <v>226</v>
      </c>
      <c r="K10220" s="5"/>
    </row>
    <row r="10221">
      <c r="A10221" s="3" t="s">
        <v>8745</v>
      </c>
      <c r="B10221" s="3" t="s">
        <v>8563</v>
      </c>
      <c r="C10221" s="3" t="s">
        <v>9015</v>
      </c>
      <c r="D10221" s="4" t="str">
        <f t="shared" si="1354"/>
        <v>12Go Link</v>
      </c>
      <c r="E10221" s="3" t="s">
        <v>3203</v>
      </c>
      <c r="K10221" s="5"/>
    </row>
    <row r="10222">
      <c r="A10222" s="3" t="s">
        <v>8579</v>
      </c>
      <c r="B10222" s="3" t="s">
        <v>8565</v>
      </c>
      <c r="C10222" s="3" t="s">
        <v>9016</v>
      </c>
      <c r="D10222" s="4" t="str">
        <f t="shared" ref="D10222:D10223" si="1355">HYPERLINK("https://12go.asia/en/travel/Kayseri-Airport/Adana-Hotel-Transfer", "12Go Link")</f>
        <v>12Go Link</v>
      </c>
      <c r="E10222" s="3" t="s">
        <v>3196</v>
      </c>
      <c r="K10222" s="5"/>
    </row>
    <row r="10223">
      <c r="A10223" s="3" t="s">
        <v>8579</v>
      </c>
      <c r="B10223" s="3" t="s">
        <v>8565</v>
      </c>
      <c r="C10223" s="3" t="s">
        <v>9016</v>
      </c>
      <c r="D10223" s="4" t="str">
        <f t="shared" si="1355"/>
        <v>12Go Link</v>
      </c>
      <c r="E10223" s="3" t="s">
        <v>3203</v>
      </c>
      <c r="K10223" s="5"/>
    </row>
    <row r="10224">
      <c r="A10224" s="3" t="s">
        <v>8579</v>
      </c>
      <c r="B10224" s="3" t="s">
        <v>8611</v>
      </c>
      <c r="C10224" s="3" t="s">
        <v>9017</v>
      </c>
      <c r="D10224" s="4" t="str">
        <f t="shared" ref="D10224:D10225" si="1356">HYPERLINK("https://12go.asia/en/travel/Kayseri-Airport/Ankara-Hotel-Transfer", "12Go Link")</f>
        <v>12Go Link</v>
      </c>
      <c r="E10224" s="3" t="s">
        <v>3196</v>
      </c>
      <c r="K10224" s="5"/>
    </row>
    <row r="10225">
      <c r="A10225" s="3" t="s">
        <v>8579</v>
      </c>
      <c r="B10225" s="3" t="s">
        <v>8611</v>
      </c>
      <c r="C10225" s="3" t="s">
        <v>9017</v>
      </c>
      <c r="D10225" s="4" t="str">
        <f t="shared" si="1356"/>
        <v>12Go Link</v>
      </c>
      <c r="E10225" s="3" t="s">
        <v>3203</v>
      </c>
      <c r="K10225" s="5"/>
    </row>
    <row r="10226">
      <c r="A10226" s="3" t="s">
        <v>8579</v>
      </c>
      <c r="B10226" s="3" t="s">
        <v>8601</v>
      </c>
      <c r="C10226" s="3" t="s">
        <v>9018</v>
      </c>
      <c r="D10226" s="4" t="str">
        <f t="shared" ref="D10226:D10227" si="1357">HYPERLINK("https://12go.asia/en/travel/Kayseri-Airport/Antalya-Hotel-Transfer", "12Go Link")</f>
        <v>12Go Link</v>
      </c>
      <c r="E10226" s="3" t="s">
        <v>3196</v>
      </c>
      <c r="K10226" s="5"/>
    </row>
    <row r="10227">
      <c r="A10227" s="3" t="s">
        <v>8579</v>
      </c>
      <c r="B10227" s="3" t="s">
        <v>8601</v>
      </c>
      <c r="C10227" s="3" t="s">
        <v>9018</v>
      </c>
      <c r="D10227" s="4" t="str">
        <f t="shared" si="1357"/>
        <v>12Go Link</v>
      </c>
      <c r="E10227" s="3" t="s">
        <v>3203</v>
      </c>
      <c r="K10227" s="5"/>
    </row>
    <row r="10228">
      <c r="A10228" s="3" t="s">
        <v>8579</v>
      </c>
      <c r="B10228" s="3" t="s">
        <v>8566</v>
      </c>
      <c r="C10228" s="3" t="s">
        <v>9019</v>
      </c>
      <c r="D10228" s="4" t="str">
        <f t="shared" ref="D10228:D10231" si="1358">HYPERLINK("https://12go.asia/en/travel/Kayseri-Airport/Avanos-Hotel-Transfer", "12Go Link")</f>
        <v>12Go Link</v>
      </c>
      <c r="E10228" s="3" t="s">
        <v>8568</v>
      </c>
      <c r="K10228" s="5"/>
    </row>
    <row r="10229">
      <c r="A10229" s="3" t="s">
        <v>8579</v>
      </c>
      <c r="B10229" s="3" t="s">
        <v>8566</v>
      </c>
      <c r="C10229" s="3" t="s">
        <v>9019</v>
      </c>
      <c r="D10229" s="4" t="str">
        <f t="shared" si="1358"/>
        <v>12Go Link</v>
      </c>
      <c r="E10229" s="3" t="s">
        <v>3196</v>
      </c>
      <c r="K10229" s="5"/>
    </row>
    <row r="10230">
      <c r="A10230" s="3" t="s">
        <v>8579</v>
      </c>
      <c r="B10230" s="3" t="s">
        <v>8566</v>
      </c>
      <c r="C10230" s="3" t="s">
        <v>9019</v>
      </c>
      <c r="D10230" s="4" t="str">
        <f t="shared" si="1358"/>
        <v>12Go Link</v>
      </c>
      <c r="E10230" s="3" t="s">
        <v>3203</v>
      </c>
      <c r="K10230" s="5"/>
    </row>
    <row r="10231">
      <c r="A10231" s="3" t="s">
        <v>8579</v>
      </c>
      <c r="B10231" s="3" t="s">
        <v>8566</v>
      </c>
      <c r="C10231" s="3" t="s">
        <v>9019</v>
      </c>
      <c r="D10231" s="4" t="str">
        <f t="shared" si="1358"/>
        <v>12Go Link</v>
      </c>
      <c r="E10231" s="3" t="s">
        <v>228</v>
      </c>
      <c r="K10231" s="5"/>
    </row>
    <row r="10232">
      <c r="A10232" s="3" t="s">
        <v>8579</v>
      </c>
      <c r="B10232" s="3" t="s">
        <v>8570</v>
      </c>
      <c r="C10232" s="3" t="s">
        <v>9020</v>
      </c>
      <c r="D10232" s="4" t="str">
        <f t="shared" ref="D10232:D10235" si="1359">HYPERLINK("https://12go.asia/en/travel/Kayseri-Airport/Cappadocia-Hotel-Transfer", "12Go Link")</f>
        <v>12Go Link</v>
      </c>
      <c r="E10232" s="3" t="s">
        <v>8568</v>
      </c>
      <c r="K10232" s="5"/>
    </row>
    <row r="10233">
      <c r="A10233" s="3" t="s">
        <v>8579</v>
      </c>
      <c r="B10233" s="3" t="s">
        <v>8570</v>
      </c>
      <c r="C10233" s="3" t="s">
        <v>9020</v>
      </c>
      <c r="D10233" s="4" t="str">
        <f t="shared" si="1359"/>
        <v>12Go Link</v>
      </c>
      <c r="E10233" s="3" t="s">
        <v>3196</v>
      </c>
      <c r="K10233" s="5"/>
    </row>
    <row r="10234">
      <c r="A10234" s="3" t="s">
        <v>8579</v>
      </c>
      <c r="B10234" s="3" t="s">
        <v>8570</v>
      </c>
      <c r="C10234" s="3" t="s">
        <v>9020</v>
      </c>
      <c r="D10234" s="4" t="str">
        <f t="shared" si="1359"/>
        <v>12Go Link</v>
      </c>
      <c r="E10234" s="3" t="s">
        <v>3203</v>
      </c>
      <c r="K10234" s="5"/>
    </row>
    <row r="10235">
      <c r="A10235" s="3" t="s">
        <v>8579</v>
      </c>
      <c r="B10235" s="3" t="s">
        <v>8570</v>
      </c>
      <c r="C10235" s="3" t="s">
        <v>9020</v>
      </c>
      <c r="D10235" s="4" t="str">
        <f t="shared" si="1359"/>
        <v>12Go Link</v>
      </c>
      <c r="E10235" s="3" t="s">
        <v>228</v>
      </c>
      <c r="K10235" s="5"/>
    </row>
    <row r="10236">
      <c r="A10236" s="3" t="s">
        <v>8579</v>
      </c>
      <c r="B10236" s="3" t="s">
        <v>8573</v>
      </c>
      <c r="C10236" s="3" t="s">
        <v>9021</v>
      </c>
      <c r="D10236" s="4" t="str">
        <f t="shared" ref="D10236:D10239" si="1360">HYPERLINK("https://12go.asia/en/travel/Kayseri-Airport/Cavusin-Hotel-Transfer", "12Go Link")</f>
        <v>12Go Link</v>
      </c>
      <c r="E10236" s="3" t="s">
        <v>8568</v>
      </c>
      <c r="K10236" s="5"/>
    </row>
    <row r="10237">
      <c r="A10237" s="3" t="s">
        <v>8579</v>
      </c>
      <c r="B10237" s="3" t="s">
        <v>8573</v>
      </c>
      <c r="C10237" s="3" t="s">
        <v>9021</v>
      </c>
      <c r="D10237" s="4" t="str">
        <f t="shared" si="1360"/>
        <v>12Go Link</v>
      </c>
      <c r="E10237" s="3" t="s">
        <v>3196</v>
      </c>
      <c r="K10237" s="5"/>
    </row>
    <row r="10238">
      <c r="A10238" s="3" t="s">
        <v>8579</v>
      </c>
      <c r="B10238" s="3" t="s">
        <v>8573</v>
      </c>
      <c r="C10238" s="3" t="s">
        <v>9021</v>
      </c>
      <c r="D10238" s="4" t="str">
        <f t="shared" si="1360"/>
        <v>12Go Link</v>
      </c>
      <c r="E10238" s="3" t="s">
        <v>3203</v>
      </c>
      <c r="K10238" s="5"/>
    </row>
    <row r="10239">
      <c r="A10239" s="3" t="s">
        <v>8579</v>
      </c>
      <c r="B10239" s="3" t="s">
        <v>8573</v>
      </c>
      <c r="C10239" s="3" t="s">
        <v>9021</v>
      </c>
      <c r="D10239" s="4" t="str">
        <f t="shared" si="1360"/>
        <v>12Go Link</v>
      </c>
      <c r="E10239" s="3" t="s">
        <v>228</v>
      </c>
      <c r="K10239" s="5"/>
    </row>
    <row r="10240">
      <c r="A10240" s="3" t="s">
        <v>8579</v>
      </c>
      <c r="B10240" s="3" t="s">
        <v>8576</v>
      </c>
      <c r="C10240" s="3" t="s">
        <v>9022</v>
      </c>
      <c r="D10240" s="4" t="str">
        <f t="shared" ref="D10240:D10243" si="1361">HYPERLINK("https://12go.asia/en/travel/Kayseri-Airport/Goreme-Hotel-Transfer", "12Go Link")</f>
        <v>12Go Link</v>
      </c>
      <c r="E10240" s="3" t="s">
        <v>8568</v>
      </c>
      <c r="K10240" s="5"/>
    </row>
    <row r="10241">
      <c r="A10241" s="3" t="s">
        <v>8579</v>
      </c>
      <c r="B10241" s="3" t="s">
        <v>8576</v>
      </c>
      <c r="C10241" s="3" t="s">
        <v>9022</v>
      </c>
      <c r="D10241" s="4" t="str">
        <f t="shared" si="1361"/>
        <v>12Go Link</v>
      </c>
      <c r="E10241" s="3" t="s">
        <v>3196</v>
      </c>
      <c r="K10241" s="5"/>
    </row>
    <row r="10242">
      <c r="A10242" s="3" t="s">
        <v>8579</v>
      </c>
      <c r="B10242" s="3" t="s">
        <v>8576</v>
      </c>
      <c r="C10242" s="3" t="s">
        <v>9022</v>
      </c>
      <c r="D10242" s="4" t="str">
        <f t="shared" si="1361"/>
        <v>12Go Link</v>
      </c>
      <c r="E10242" s="3" t="s">
        <v>3203</v>
      </c>
      <c r="K10242" s="5"/>
    </row>
    <row r="10243">
      <c r="A10243" s="3" t="s">
        <v>8579</v>
      </c>
      <c r="B10243" s="3" t="s">
        <v>8576</v>
      </c>
      <c r="C10243" s="3" t="s">
        <v>9022</v>
      </c>
      <c r="D10243" s="4" t="str">
        <f t="shared" si="1361"/>
        <v>12Go Link</v>
      </c>
      <c r="E10243" s="3" t="s">
        <v>228</v>
      </c>
      <c r="K10243" s="5"/>
    </row>
    <row r="10244">
      <c r="A10244" s="3" t="s">
        <v>8579</v>
      </c>
      <c r="B10244" s="3" t="s">
        <v>8819</v>
      </c>
      <c r="C10244" s="3" t="s">
        <v>9023</v>
      </c>
      <c r="D10244" s="4" t="str">
        <f t="shared" ref="D10244:D10245" si="1362">HYPERLINK("https://12go.asia/en/travel/Kayseri-Airport/Gulsehir-Hotel-Transfer", "12Go Link")</f>
        <v>12Go Link</v>
      </c>
      <c r="E10244" s="3" t="s">
        <v>3196</v>
      </c>
      <c r="K10244" s="5"/>
    </row>
    <row r="10245">
      <c r="A10245" s="3" t="s">
        <v>8579</v>
      </c>
      <c r="B10245" s="3" t="s">
        <v>8819</v>
      </c>
      <c r="C10245" s="3" t="s">
        <v>9023</v>
      </c>
      <c r="D10245" s="4" t="str">
        <f t="shared" si="1362"/>
        <v>12Go Link</v>
      </c>
      <c r="E10245" s="3" t="s">
        <v>3203</v>
      </c>
      <c r="K10245" s="5"/>
    </row>
    <row r="10246">
      <c r="A10246" s="3" t="s">
        <v>8579</v>
      </c>
      <c r="B10246" s="3" t="s">
        <v>8824</v>
      </c>
      <c r="C10246" s="3" t="s">
        <v>9024</v>
      </c>
      <c r="D10246" s="4" t="str">
        <f t="shared" ref="D10246:D10247" si="1363">HYPERLINK("https://12go.asia/en/travel/Kayseri-Airport/Ibrahimpasa-Hotel-Transfer", "12Go Link")</f>
        <v>12Go Link</v>
      </c>
      <c r="E10246" s="3" t="s">
        <v>3196</v>
      </c>
      <c r="K10246" s="5"/>
    </row>
    <row r="10247">
      <c r="A10247" s="3" t="s">
        <v>8579</v>
      </c>
      <c r="B10247" s="3" t="s">
        <v>8824</v>
      </c>
      <c r="C10247" s="3" t="s">
        <v>9024</v>
      </c>
      <c r="D10247" s="4" t="str">
        <f t="shared" si="1363"/>
        <v>12Go Link</v>
      </c>
      <c r="E10247" s="3" t="s">
        <v>3203</v>
      </c>
      <c r="K10247" s="5"/>
    </row>
    <row r="10248">
      <c r="A10248" s="3" t="s">
        <v>8579</v>
      </c>
      <c r="B10248" s="3" t="s">
        <v>8579</v>
      </c>
      <c r="C10248" s="3" t="s">
        <v>9025</v>
      </c>
      <c r="D10248" s="4" t="str">
        <f t="shared" ref="D10248:D10249" si="1364">HYPERLINK("https://12go.asia/en/travel/Erciyes-Hotel-Transfer/Kayseri-Airport", "12Go Link")</f>
        <v>12Go Link</v>
      </c>
      <c r="E10248" s="3" t="s">
        <v>3196</v>
      </c>
      <c r="K10248" s="5"/>
    </row>
    <row r="10249">
      <c r="A10249" s="3" t="s">
        <v>8579</v>
      </c>
      <c r="B10249" s="3" t="s">
        <v>8579</v>
      </c>
      <c r="C10249" s="3" t="s">
        <v>9025</v>
      </c>
      <c r="D10249" s="4" t="str">
        <f t="shared" si="1364"/>
        <v>12Go Link</v>
      </c>
      <c r="E10249" s="3" t="s">
        <v>3203</v>
      </c>
      <c r="K10249" s="5"/>
    </row>
    <row r="10250">
      <c r="A10250" s="3" t="s">
        <v>8579</v>
      </c>
      <c r="B10250" s="3" t="s">
        <v>8579</v>
      </c>
      <c r="C10250" s="3" t="s">
        <v>9026</v>
      </c>
      <c r="D10250" s="4" t="str">
        <f t="shared" ref="D10250:D10251" si="1365">HYPERLINK("https://12go.asia/en/travel/Kayseri-Airport/Erciyes-Hotel-Transfer", "12Go Link")</f>
        <v>12Go Link</v>
      </c>
      <c r="E10250" s="3" t="s">
        <v>3196</v>
      </c>
      <c r="K10250" s="5"/>
    </row>
    <row r="10251">
      <c r="A10251" s="3" t="s">
        <v>8579</v>
      </c>
      <c r="B10251" s="3" t="s">
        <v>8579</v>
      </c>
      <c r="C10251" s="3" t="s">
        <v>9026</v>
      </c>
      <c r="D10251" s="4" t="str">
        <f t="shared" si="1365"/>
        <v>12Go Link</v>
      </c>
      <c r="E10251" s="3" t="s">
        <v>3203</v>
      </c>
      <c r="K10251" s="5"/>
    </row>
    <row r="10252">
      <c r="A10252" s="3" t="s">
        <v>8579</v>
      </c>
      <c r="B10252" s="3" t="s">
        <v>8579</v>
      </c>
      <c r="C10252" s="3" t="s">
        <v>9027</v>
      </c>
      <c r="D10252" s="4" t="str">
        <f t="shared" ref="D10252:D10253" si="1366">HYPERLINK("https://12go.asia/en/travel/Kayseri-Airport/Kayseri-Hotel-Transfer", "12Go Link")</f>
        <v>12Go Link</v>
      </c>
      <c r="E10252" s="3" t="s">
        <v>3196</v>
      </c>
      <c r="K10252" s="5"/>
    </row>
    <row r="10253">
      <c r="A10253" s="3" t="s">
        <v>8579</v>
      </c>
      <c r="B10253" s="3" t="s">
        <v>8579</v>
      </c>
      <c r="C10253" s="3" t="s">
        <v>9027</v>
      </c>
      <c r="D10253" s="4" t="str">
        <f t="shared" si="1366"/>
        <v>12Go Link</v>
      </c>
      <c r="E10253" s="3" t="s">
        <v>3203</v>
      </c>
      <c r="K10253" s="5"/>
    </row>
    <row r="10254">
      <c r="A10254" s="3" t="s">
        <v>8579</v>
      </c>
      <c r="B10254" s="3" t="s">
        <v>8579</v>
      </c>
      <c r="C10254" s="3" t="s">
        <v>9028</v>
      </c>
      <c r="D10254" s="4" t="str">
        <f t="shared" ref="D10254:D10255" si="1367">HYPERLINK("https://12go.asia/en/travel/Kayseri-Hotel-Transfer/Kayseri-Airport", "12Go Link")</f>
        <v>12Go Link</v>
      </c>
      <c r="E10254" s="3" t="s">
        <v>3196</v>
      </c>
      <c r="K10254" s="5"/>
    </row>
    <row r="10255">
      <c r="A10255" s="3" t="s">
        <v>8579</v>
      </c>
      <c r="B10255" s="3" t="s">
        <v>8579</v>
      </c>
      <c r="C10255" s="3" t="s">
        <v>9028</v>
      </c>
      <c r="D10255" s="4" t="str">
        <f t="shared" si="1367"/>
        <v>12Go Link</v>
      </c>
      <c r="E10255" s="3" t="s">
        <v>3203</v>
      </c>
      <c r="K10255" s="5"/>
    </row>
    <row r="10256">
      <c r="A10256" s="3" t="s">
        <v>8579</v>
      </c>
      <c r="B10256" s="3" t="s">
        <v>9029</v>
      </c>
      <c r="C10256" s="3" t="s">
        <v>9030</v>
      </c>
      <c r="D10256" s="4" t="str">
        <f t="shared" ref="D10256:D10257" si="1368">HYPERLINK("https://12go.asia/en/travel/Kayseri-Airport/Konya-Hotel-Transfer", "12Go Link")</f>
        <v>12Go Link</v>
      </c>
      <c r="E10256" s="3" t="s">
        <v>3196</v>
      </c>
      <c r="K10256" s="5"/>
    </row>
    <row r="10257">
      <c r="A10257" s="3" t="s">
        <v>8579</v>
      </c>
      <c r="B10257" s="3" t="s">
        <v>9029</v>
      </c>
      <c r="C10257" s="3" t="s">
        <v>9030</v>
      </c>
      <c r="D10257" s="4" t="str">
        <f t="shared" si="1368"/>
        <v>12Go Link</v>
      </c>
      <c r="E10257" s="3" t="s">
        <v>3203</v>
      </c>
      <c r="K10257" s="5"/>
    </row>
    <row r="10258">
      <c r="A10258" s="3" t="s">
        <v>8579</v>
      </c>
      <c r="B10258" s="3" t="s">
        <v>9031</v>
      </c>
      <c r="C10258" s="3" t="s">
        <v>9032</v>
      </c>
      <c r="D10258" s="4" t="str">
        <f t="shared" ref="D10258:D10259" si="1369">HYPERLINK("https://12go.asia/en/travel/Kayseri-Airport/Nar-Hotel-Transfer", "12Go Link")</f>
        <v>12Go Link</v>
      </c>
      <c r="E10258" s="3" t="s">
        <v>3196</v>
      </c>
      <c r="K10258" s="5"/>
    </row>
    <row r="10259">
      <c r="A10259" s="3" t="s">
        <v>8579</v>
      </c>
      <c r="B10259" s="3" t="s">
        <v>9031</v>
      </c>
      <c r="C10259" s="3" t="s">
        <v>9032</v>
      </c>
      <c r="D10259" s="4" t="str">
        <f t="shared" si="1369"/>
        <v>12Go Link</v>
      </c>
      <c r="E10259" s="3" t="s">
        <v>3203</v>
      </c>
      <c r="K10259" s="5"/>
    </row>
    <row r="10260">
      <c r="A10260" s="3" t="s">
        <v>8579</v>
      </c>
      <c r="B10260" s="3" t="s">
        <v>8581</v>
      </c>
      <c r="C10260" s="3" t="s">
        <v>9033</v>
      </c>
      <c r="D10260" s="4" t="str">
        <f t="shared" ref="D10260:D10263" si="1370">HYPERLINK("https://12go.asia/en/travel/Kayseri-Airport/Nevsehir-Hotel-Transfer", "12Go Link")</f>
        <v>12Go Link</v>
      </c>
      <c r="E10260" s="3" t="s">
        <v>8568</v>
      </c>
      <c r="K10260" s="5"/>
    </row>
    <row r="10261">
      <c r="A10261" s="3" t="s">
        <v>8579</v>
      </c>
      <c r="B10261" s="3" t="s">
        <v>8581</v>
      </c>
      <c r="C10261" s="3" t="s">
        <v>9033</v>
      </c>
      <c r="D10261" s="4" t="str">
        <f t="shared" si="1370"/>
        <v>12Go Link</v>
      </c>
      <c r="E10261" s="3" t="s">
        <v>3196</v>
      </c>
      <c r="K10261" s="5"/>
    </row>
    <row r="10262">
      <c r="A10262" s="3" t="s">
        <v>8579</v>
      </c>
      <c r="B10262" s="3" t="s">
        <v>8581</v>
      </c>
      <c r="C10262" s="3" t="s">
        <v>9033</v>
      </c>
      <c r="D10262" s="4" t="str">
        <f t="shared" si="1370"/>
        <v>12Go Link</v>
      </c>
      <c r="E10262" s="3" t="s">
        <v>3203</v>
      </c>
      <c r="K10262" s="5"/>
    </row>
    <row r="10263">
      <c r="A10263" s="3" t="s">
        <v>8579</v>
      </c>
      <c r="B10263" s="3" t="s">
        <v>8581</v>
      </c>
      <c r="C10263" s="3" t="s">
        <v>9033</v>
      </c>
      <c r="D10263" s="4" t="str">
        <f t="shared" si="1370"/>
        <v>12Go Link</v>
      </c>
      <c r="E10263" s="3" t="s">
        <v>228</v>
      </c>
      <c r="K10263" s="5"/>
    </row>
    <row r="10264">
      <c r="A10264" s="3" t="s">
        <v>8579</v>
      </c>
      <c r="B10264" s="3" t="s">
        <v>9034</v>
      </c>
      <c r="C10264" s="3" t="s">
        <v>9035</v>
      </c>
      <c r="D10264" s="4" t="str">
        <f t="shared" ref="D10264:D10265" si="1371">HYPERLINK("https://12go.asia/en/travel/Kayseri-Airport/Nigde-Hotel-Transfer", "12Go Link")</f>
        <v>12Go Link</v>
      </c>
      <c r="E10264" s="3" t="s">
        <v>3196</v>
      </c>
      <c r="K10264" s="5"/>
    </row>
    <row r="10265">
      <c r="A10265" s="3" t="s">
        <v>8579</v>
      </c>
      <c r="B10265" s="3" t="s">
        <v>9034</v>
      </c>
      <c r="C10265" s="3" t="s">
        <v>9035</v>
      </c>
      <c r="D10265" s="4" t="str">
        <f t="shared" si="1371"/>
        <v>12Go Link</v>
      </c>
      <c r="E10265" s="3" t="s">
        <v>3203</v>
      </c>
      <c r="K10265" s="5"/>
    </row>
    <row r="10266">
      <c r="A10266" s="3" t="s">
        <v>8579</v>
      </c>
      <c r="B10266" s="3" t="s">
        <v>8584</v>
      </c>
      <c r="C10266" s="3" t="s">
        <v>9036</v>
      </c>
      <c r="D10266" s="4" t="str">
        <f t="shared" ref="D10266:D10269" si="1372">HYPERLINK("https://12go.asia/en/travel/Kayseri-Airport/Ortahisar-Hotel-Transfer", "12Go Link")</f>
        <v>12Go Link</v>
      </c>
      <c r="E10266" s="3" t="s">
        <v>8568</v>
      </c>
      <c r="K10266" s="5"/>
    </row>
    <row r="10267">
      <c r="A10267" s="3" t="s">
        <v>8579</v>
      </c>
      <c r="B10267" s="3" t="s">
        <v>8584</v>
      </c>
      <c r="C10267" s="3" t="s">
        <v>9036</v>
      </c>
      <c r="D10267" s="4" t="str">
        <f t="shared" si="1372"/>
        <v>12Go Link</v>
      </c>
      <c r="E10267" s="3" t="s">
        <v>3196</v>
      </c>
      <c r="K10267" s="5"/>
    </row>
    <row r="10268">
      <c r="A10268" s="3" t="s">
        <v>8579</v>
      </c>
      <c r="B10268" s="3" t="s">
        <v>8584</v>
      </c>
      <c r="C10268" s="3" t="s">
        <v>9036</v>
      </c>
      <c r="D10268" s="4" t="str">
        <f t="shared" si="1372"/>
        <v>12Go Link</v>
      </c>
      <c r="E10268" s="3" t="s">
        <v>3203</v>
      </c>
      <c r="K10268" s="5"/>
    </row>
    <row r="10269">
      <c r="A10269" s="3" t="s">
        <v>8579</v>
      </c>
      <c r="B10269" s="3" t="s">
        <v>8584</v>
      </c>
      <c r="C10269" s="3" t="s">
        <v>9036</v>
      </c>
      <c r="D10269" s="4" t="str">
        <f t="shared" si="1372"/>
        <v>12Go Link</v>
      </c>
      <c r="E10269" s="3" t="s">
        <v>228</v>
      </c>
      <c r="K10269" s="5"/>
    </row>
    <row r="10270">
      <c r="A10270" s="3" t="s">
        <v>8579</v>
      </c>
      <c r="B10270" s="3" t="s">
        <v>8587</v>
      </c>
      <c r="C10270" s="3" t="s">
        <v>9037</v>
      </c>
      <c r="D10270" s="4" t="str">
        <f t="shared" ref="D10270:D10273" si="1373">HYPERLINK("https://12go.asia/en/travel/Kayseri-Airport/Uchisar-Hotel-Transfer", "12Go Link")</f>
        <v>12Go Link</v>
      </c>
      <c r="E10270" s="3" t="s">
        <v>8568</v>
      </c>
      <c r="K10270" s="5"/>
    </row>
    <row r="10271">
      <c r="A10271" s="3" t="s">
        <v>8579</v>
      </c>
      <c r="B10271" s="3" t="s">
        <v>8587</v>
      </c>
      <c r="C10271" s="3" t="s">
        <v>9037</v>
      </c>
      <c r="D10271" s="4" t="str">
        <f t="shared" si="1373"/>
        <v>12Go Link</v>
      </c>
      <c r="E10271" s="3" t="s">
        <v>3196</v>
      </c>
      <c r="K10271" s="5"/>
    </row>
    <row r="10272">
      <c r="A10272" s="3" t="s">
        <v>8579</v>
      </c>
      <c r="B10272" s="3" t="s">
        <v>8587</v>
      </c>
      <c r="C10272" s="3" t="s">
        <v>9037</v>
      </c>
      <c r="D10272" s="4" t="str">
        <f t="shared" si="1373"/>
        <v>12Go Link</v>
      </c>
      <c r="E10272" s="3" t="s">
        <v>3203</v>
      </c>
      <c r="K10272" s="5"/>
    </row>
    <row r="10273">
      <c r="A10273" s="3" t="s">
        <v>8579</v>
      </c>
      <c r="B10273" s="3" t="s">
        <v>8587</v>
      </c>
      <c r="C10273" s="3" t="s">
        <v>9037</v>
      </c>
      <c r="D10273" s="4" t="str">
        <f t="shared" si="1373"/>
        <v>12Go Link</v>
      </c>
      <c r="E10273" s="3" t="s">
        <v>228</v>
      </c>
      <c r="K10273" s="5"/>
    </row>
    <row r="10274">
      <c r="A10274" s="3" t="s">
        <v>8579</v>
      </c>
      <c r="B10274" s="3" t="s">
        <v>8590</v>
      </c>
      <c r="C10274" s="3" t="s">
        <v>9038</v>
      </c>
      <c r="D10274" s="4" t="str">
        <f t="shared" ref="D10274:D10277" si="1374">HYPERLINK("https://12go.asia/en/travel/Kayseri-Airport/Urgup-Hotel-Transfer", "12Go Link")</f>
        <v>12Go Link</v>
      </c>
      <c r="E10274" s="3" t="s">
        <v>8568</v>
      </c>
      <c r="K10274" s="5"/>
    </row>
    <row r="10275">
      <c r="A10275" s="3" t="s">
        <v>8579</v>
      </c>
      <c r="B10275" s="3" t="s">
        <v>8590</v>
      </c>
      <c r="C10275" s="3" t="s">
        <v>9038</v>
      </c>
      <c r="D10275" s="4" t="str">
        <f t="shared" si="1374"/>
        <v>12Go Link</v>
      </c>
      <c r="E10275" s="3" t="s">
        <v>3196</v>
      </c>
      <c r="K10275" s="5"/>
    </row>
    <row r="10276">
      <c r="A10276" s="3" t="s">
        <v>8579</v>
      </c>
      <c r="B10276" s="3" t="s">
        <v>8590</v>
      </c>
      <c r="C10276" s="3" t="s">
        <v>9038</v>
      </c>
      <c r="D10276" s="4" t="str">
        <f t="shared" si="1374"/>
        <v>12Go Link</v>
      </c>
      <c r="E10276" s="3" t="s">
        <v>3203</v>
      </c>
      <c r="K10276" s="5"/>
    </row>
    <row r="10277">
      <c r="A10277" s="3" t="s">
        <v>8579</v>
      </c>
      <c r="B10277" s="3" t="s">
        <v>8590</v>
      </c>
      <c r="C10277" s="3" t="s">
        <v>9038</v>
      </c>
      <c r="D10277" s="4" t="str">
        <f t="shared" si="1374"/>
        <v>12Go Link</v>
      </c>
      <c r="E10277" s="3" t="s">
        <v>228</v>
      </c>
      <c r="K10277" s="5"/>
    </row>
    <row r="10278">
      <c r="A10278" s="3" t="s">
        <v>8649</v>
      </c>
      <c r="B10278" s="3" t="s">
        <v>8601</v>
      </c>
      <c r="C10278" s="3" t="s">
        <v>9039</v>
      </c>
      <c r="D10278" s="4" t="str">
        <f t="shared" ref="D10278:D10280" si="1375">HYPERLINK("https://12go.asia/en/travel/Kemer-Hotel-Transfer/Antalya-Airport", "12Go Link")</f>
        <v>12Go Link</v>
      </c>
      <c r="E10278" s="3" t="s">
        <v>3196</v>
      </c>
      <c r="K10278" s="5"/>
    </row>
    <row r="10279">
      <c r="A10279" s="3" t="s">
        <v>8649</v>
      </c>
      <c r="B10279" s="3" t="s">
        <v>8601</v>
      </c>
      <c r="C10279" s="3" t="s">
        <v>9039</v>
      </c>
      <c r="D10279" s="4" t="str">
        <f t="shared" si="1375"/>
        <v>12Go Link</v>
      </c>
      <c r="E10279" s="3" t="s">
        <v>226</v>
      </c>
      <c r="K10279" s="5"/>
    </row>
    <row r="10280">
      <c r="A10280" s="3" t="s">
        <v>8649</v>
      </c>
      <c r="B10280" s="3" t="s">
        <v>8601</v>
      </c>
      <c r="C10280" s="3" t="s">
        <v>9039</v>
      </c>
      <c r="D10280" s="4" t="str">
        <f t="shared" si="1375"/>
        <v>12Go Link</v>
      </c>
      <c r="E10280" s="3" t="s">
        <v>3203</v>
      </c>
      <c r="K10280" s="5"/>
    </row>
    <row r="10281">
      <c r="A10281" s="3" t="s">
        <v>8651</v>
      </c>
      <c r="B10281" s="3" t="s">
        <v>8601</v>
      </c>
      <c r="C10281" s="3" t="s">
        <v>9040</v>
      </c>
      <c r="D10281" s="4" t="str">
        <f t="shared" ref="D10281:D10283" si="1376">HYPERLINK("https://12go.asia/en/travel/Kestel-Hotel-Transfer/Antalya-Airport", "12Go Link")</f>
        <v>12Go Link</v>
      </c>
      <c r="E10281" s="3" t="s">
        <v>3196</v>
      </c>
      <c r="K10281" s="5"/>
    </row>
    <row r="10282">
      <c r="A10282" s="3" t="s">
        <v>8651</v>
      </c>
      <c r="B10282" s="3" t="s">
        <v>8601</v>
      </c>
      <c r="C10282" s="3" t="s">
        <v>9040</v>
      </c>
      <c r="D10282" s="4" t="str">
        <f t="shared" si="1376"/>
        <v>12Go Link</v>
      </c>
      <c r="E10282" s="3" t="s">
        <v>226</v>
      </c>
      <c r="K10282" s="5"/>
    </row>
    <row r="10283">
      <c r="A10283" s="3" t="s">
        <v>8651</v>
      </c>
      <c r="B10283" s="3" t="s">
        <v>8601</v>
      </c>
      <c r="C10283" s="3" t="s">
        <v>9040</v>
      </c>
      <c r="D10283" s="4" t="str">
        <f t="shared" si="1376"/>
        <v>12Go Link</v>
      </c>
      <c r="E10283" s="3" t="s">
        <v>3203</v>
      </c>
      <c r="K10283" s="5"/>
    </row>
    <row r="10284">
      <c r="A10284" s="3" t="s">
        <v>8653</v>
      </c>
      <c r="B10284" s="3" t="s">
        <v>8601</v>
      </c>
      <c r="C10284" s="3" t="s">
        <v>9041</v>
      </c>
      <c r="D10284" s="4" t="str">
        <f t="shared" ref="D10284:D10286" si="1377">HYPERLINK("https://12go.asia/en/travel/Kiris-Hotel-Transfer/Antalya-Airport", "12Go Link")</f>
        <v>12Go Link</v>
      </c>
      <c r="E10284" s="3" t="s">
        <v>3196</v>
      </c>
      <c r="K10284" s="5"/>
    </row>
    <row r="10285">
      <c r="A10285" s="3" t="s">
        <v>8653</v>
      </c>
      <c r="B10285" s="3" t="s">
        <v>8601</v>
      </c>
      <c r="C10285" s="3" t="s">
        <v>9041</v>
      </c>
      <c r="D10285" s="4" t="str">
        <f t="shared" si="1377"/>
        <v>12Go Link</v>
      </c>
      <c r="E10285" s="3" t="s">
        <v>226</v>
      </c>
      <c r="K10285" s="5"/>
    </row>
    <row r="10286">
      <c r="A10286" s="3" t="s">
        <v>8653</v>
      </c>
      <c r="B10286" s="3" t="s">
        <v>8601</v>
      </c>
      <c r="C10286" s="3" t="s">
        <v>9041</v>
      </c>
      <c r="D10286" s="4" t="str">
        <f t="shared" si="1377"/>
        <v>12Go Link</v>
      </c>
      <c r="E10286" s="3" t="s">
        <v>3203</v>
      </c>
      <c r="K10286" s="5"/>
    </row>
    <row r="10287">
      <c r="A10287" s="3" t="s">
        <v>8655</v>
      </c>
      <c r="B10287" s="3" t="s">
        <v>8601</v>
      </c>
      <c r="C10287" s="3" t="s">
        <v>9042</v>
      </c>
      <c r="D10287" s="4" t="str">
        <f t="shared" ref="D10287:D10289" si="1378">HYPERLINK("https://12go.asia/en/travel/Konakli-Hotel-Transfer/Antalya-Airport", "12Go Link")</f>
        <v>12Go Link</v>
      </c>
      <c r="E10287" s="3" t="s">
        <v>3196</v>
      </c>
      <c r="K10287" s="5"/>
    </row>
    <row r="10288">
      <c r="A10288" s="3" t="s">
        <v>8655</v>
      </c>
      <c r="B10288" s="3" t="s">
        <v>8601</v>
      </c>
      <c r="C10288" s="3" t="s">
        <v>9042</v>
      </c>
      <c r="D10288" s="4" t="str">
        <f t="shared" si="1378"/>
        <v>12Go Link</v>
      </c>
      <c r="E10288" s="3" t="s">
        <v>226</v>
      </c>
      <c r="K10288" s="5"/>
    </row>
    <row r="10289">
      <c r="A10289" s="3" t="s">
        <v>8655</v>
      </c>
      <c r="B10289" s="3" t="s">
        <v>8601</v>
      </c>
      <c r="C10289" s="3" t="s">
        <v>9042</v>
      </c>
      <c r="D10289" s="4" t="str">
        <f t="shared" si="1378"/>
        <v>12Go Link</v>
      </c>
      <c r="E10289" s="3" t="s">
        <v>3203</v>
      </c>
      <c r="K10289" s="5"/>
    </row>
    <row r="10290">
      <c r="A10290" s="3" t="s">
        <v>9029</v>
      </c>
      <c r="B10290" s="3" t="s">
        <v>8579</v>
      </c>
      <c r="C10290" s="3" t="s">
        <v>9043</v>
      </c>
      <c r="D10290" s="4" t="str">
        <f t="shared" ref="D10290:D10291" si="1379">HYPERLINK("https://12go.asia/en/travel/Konya-Hotel-Transfer/Kayseri-Airport", "12Go Link")</f>
        <v>12Go Link</v>
      </c>
      <c r="E10290" s="3" t="s">
        <v>3196</v>
      </c>
      <c r="K10290" s="5"/>
    </row>
    <row r="10291">
      <c r="A10291" s="3" t="s">
        <v>9029</v>
      </c>
      <c r="B10291" s="3" t="s">
        <v>8579</v>
      </c>
      <c r="C10291" s="3" t="s">
        <v>9043</v>
      </c>
      <c r="D10291" s="4" t="str">
        <f t="shared" si="1379"/>
        <v>12Go Link</v>
      </c>
      <c r="E10291" s="3" t="s">
        <v>3203</v>
      </c>
      <c r="K10291" s="5"/>
    </row>
    <row r="10292">
      <c r="A10292" s="3" t="s">
        <v>8747</v>
      </c>
      <c r="B10292" s="3" t="s">
        <v>8563</v>
      </c>
      <c r="C10292" s="3" t="s">
        <v>9044</v>
      </c>
      <c r="D10292" s="4" t="str">
        <f t="shared" ref="D10292:D10294" si="1380">HYPERLINK("https://12go.asia/en/travel/Koycegiz-Hotel-Transfer/Dalaman-Airport", "12Go Link")</f>
        <v>12Go Link</v>
      </c>
      <c r="E10292" s="3" t="s">
        <v>3196</v>
      </c>
      <c r="K10292" s="5"/>
    </row>
    <row r="10293">
      <c r="A10293" s="3" t="s">
        <v>8747</v>
      </c>
      <c r="B10293" s="3" t="s">
        <v>8563</v>
      </c>
      <c r="C10293" s="3" t="s">
        <v>9044</v>
      </c>
      <c r="D10293" s="4" t="str">
        <f t="shared" si="1380"/>
        <v>12Go Link</v>
      </c>
      <c r="E10293" s="3" t="s">
        <v>226</v>
      </c>
      <c r="K10293" s="5"/>
    </row>
    <row r="10294">
      <c r="A10294" s="3" t="s">
        <v>8747</v>
      </c>
      <c r="B10294" s="3" t="s">
        <v>8563</v>
      </c>
      <c r="C10294" s="3" t="s">
        <v>9044</v>
      </c>
      <c r="D10294" s="4" t="str">
        <f t="shared" si="1380"/>
        <v>12Go Link</v>
      </c>
      <c r="E10294" s="3" t="s">
        <v>3203</v>
      </c>
      <c r="K10294" s="5"/>
    </row>
    <row r="10295">
      <c r="A10295" s="3" t="s">
        <v>8657</v>
      </c>
      <c r="B10295" s="3" t="s">
        <v>8601</v>
      </c>
      <c r="C10295" s="3" t="s">
        <v>9045</v>
      </c>
      <c r="D10295" s="4" t="str">
        <f t="shared" ref="D10295:D10297" si="1381">HYPERLINK("https://12go.asia/en/travel/Kumkoy-Hotel-Transfer/Antalya-Airport", "12Go Link")</f>
        <v>12Go Link</v>
      </c>
      <c r="E10295" s="3" t="s">
        <v>3196</v>
      </c>
      <c r="K10295" s="5"/>
    </row>
    <row r="10296">
      <c r="A10296" s="3" t="s">
        <v>8657</v>
      </c>
      <c r="B10296" s="3" t="s">
        <v>8601</v>
      </c>
      <c r="C10296" s="3" t="s">
        <v>9045</v>
      </c>
      <c r="D10296" s="4" t="str">
        <f t="shared" si="1381"/>
        <v>12Go Link</v>
      </c>
      <c r="E10296" s="3" t="s">
        <v>226</v>
      </c>
      <c r="K10296" s="5"/>
    </row>
    <row r="10297">
      <c r="A10297" s="3" t="s">
        <v>8657</v>
      </c>
      <c r="B10297" s="3" t="s">
        <v>8601</v>
      </c>
      <c r="C10297" s="3" t="s">
        <v>9045</v>
      </c>
      <c r="D10297" s="4" t="str">
        <f t="shared" si="1381"/>
        <v>12Go Link</v>
      </c>
      <c r="E10297" s="3" t="s">
        <v>3203</v>
      </c>
      <c r="K10297" s="5"/>
    </row>
    <row r="10298">
      <c r="A10298" s="3" t="s">
        <v>8749</v>
      </c>
      <c r="B10298" s="3" t="s">
        <v>8563</v>
      </c>
      <c r="C10298" s="3" t="s">
        <v>9046</v>
      </c>
      <c r="D10298" s="4" t="str">
        <f t="shared" ref="D10298:D10300" si="1382">HYPERLINK("https://12go.asia/en/travel/Kumlubuk-Hotel-Transfer/Dalaman-Airport", "12Go Link")</f>
        <v>12Go Link</v>
      </c>
      <c r="E10298" s="3" t="s">
        <v>3196</v>
      </c>
      <c r="K10298" s="5"/>
    </row>
    <row r="10299">
      <c r="A10299" s="3" t="s">
        <v>8749</v>
      </c>
      <c r="B10299" s="3" t="s">
        <v>8563</v>
      </c>
      <c r="C10299" s="3" t="s">
        <v>9046</v>
      </c>
      <c r="D10299" s="4" t="str">
        <f t="shared" si="1382"/>
        <v>12Go Link</v>
      </c>
      <c r="E10299" s="3" t="s">
        <v>226</v>
      </c>
      <c r="K10299" s="5"/>
    </row>
    <row r="10300">
      <c r="A10300" s="3" t="s">
        <v>8749</v>
      </c>
      <c r="B10300" s="3" t="s">
        <v>8563</v>
      </c>
      <c r="C10300" s="3" t="s">
        <v>9046</v>
      </c>
      <c r="D10300" s="4" t="str">
        <f t="shared" si="1382"/>
        <v>12Go Link</v>
      </c>
      <c r="E10300" s="3" t="s">
        <v>3203</v>
      </c>
      <c r="K10300" s="5"/>
    </row>
    <row r="10301">
      <c r="A10301" s="3" t="s">
        <v>8965</v>
      </c>
      <c r="B10301" s="3" t="s">
        <v>8594</v>
      </c>
      <c r="C10301" s="3" t="s">
        <v>9047</v>
      </c>
      <c r="D10301" s="4" t="str">
        <f t="shared" ref="D10301:D10303" si="1383">HYPERLINK("https://12go.asia/en/travel/Kusadasi-Hotel-Transfer/Adnan-Menderes-Airport", "12Go Link")</f>
        <v>12Go Link</v>
      </c>
      <c r="E10301" s="3" t="s">
        <v>3196</v>
      </c>
      <c r="K10301" s="5"/>
    </row>
    <row r="10302">
      <c r="A10302" s="3" t="s">
        <v>8965</v>
      </c>
      <c r="B10302" s="3" t="s">
        <v>8594</v>
      </c>
      <c r="C10302" s="3" t="s">
        <v>9047</v>
      </c>
      <c r="D10302" s="4" t="str">
        <f t="shared" si="1383"/>
        <v>12Go Link</v>
      </c>
      <c r="E10302" s="3" t="s">
        <v>226</v>
      </c>
      <c r="K10302" s="5"/>
    </row>
    <row r="10303">
      <c r="A10303" s="3" t="s">
        <v>8965</v>
      </c>
      <c r="B10303" s="3" t="s">
        <v>8594</v>
      </c>
      <c r="C10303" s="3" t="s">
        <v>9047</v>
      </c>
      <c r="D10303" s="4" t="str">
        <f t="shared" si="1383"/>
        <v>12Go Link</v>
      </c>
      <c r="E10303" s="3" t="s">
        <v>3203</v>
      </c>
      <c r="K10303" s="5"/>
    </row>
    <row r="10304">
      <c r="A10304" s="3" t="s">
        <v>8965</v>
      </c>
      <c r="B10304" s="3" t="s">
        <v>8594</v>
      </c>
      <c r="C10304" s="3" t="s">
        <v>9048</v>
      </c>
      <c r="D10304" s="4" t="str">
        <f t="shared" ref="D10304:D10306" si="1384">HYPERLINK("https://12go.asia/en/travel/Kusadasi-International-Golf-Resort/Adnan-Menderes-Airport", "12Go Link")</f>
        <v>12Go Link</v>
      </c>
      <c r="E10304" s="3" t="s">
        <v>3196</v>
      </c>
      <c r="K10304" s="5"/>
    </row>
    <row r="10305">
      <c r="A10305" s="3" t="s">
        <v>8965</v>
      </c>
      <c r="B10305" s="3" t="s">
        <v>8594</v>
      </c>
      <c r="C10305" s="3" t="s">
        <v>9048</v>
      </c>
      <c r="D10305" s="4" t="str">
        <f t="shared" si="1384"/>
        <v>12Go Link</v>
      </c>
      <c r="E10305" s="3" t="s">
        <v>226</v>
      </c>
      <c r="K10305" s="5"/>
    </row>
    <row r="10306">
      <c r="A10306" s="3" t="s">
        <v>8965</v>
      </c>
      <c r="B10306" s="3" t="s">
        <v>8594</v>
      </c>
      <c r="C10306" s="3" t="s">
        <v>9048</v>
      </c>
      <c r="D10306" s="4" t="str">
        <f t="shared" si="1384"/>
        <v>12Go Link</v>
      </c>
      <c r="E10306" s="3" t="s">
        <v>3203</v>
      </c>
      <c r="K10306" s="5"/>
    </row>
    <row r="10307">
      <c r="A10307" s="3" t="s">
        <v>8659</v>
      </c>
      <c r="B10307" s="3" t="s">
        <v>8601</v>
      </c>
      <c r="C10307" s="3" t="s">
        <v>9049</v>
      </c>
      <c r="D10307" s="4" t="str">
        <f t="shared" ref="D10307:D10309" si="1385">HYPERLINK("https://12go.asia/en/travel/Mahmutlar-Hotel-Transfer/Antalya-Airport", "12Go Link")</f>
        <v>12Go Link</v>
      </c>
      <c r="E10307" s="3" t="s">
        <v>3196</v>
      </c>
      <c r="K10307" s="5"/>
    </row>
    <row r="10308">
      <c r="A10308" s="3" t="s">
        <v>8659</v>
      </c>
      <c r="B10308" s="3" t="s">
        <v>8601</v>
      </c>
      <c r="C10308" s="3" t="s">
        <v>9049</v>
      </c>
      <c r="D10308" s="4" t="str">
        <f t="shared" si="1385"/>
        <v>12Go Link</v>
      </c>
      <c r="E10308" s="3" t="s">
        <v>226</v>
      </c>
      <c r="K10308" s="5"/>
    </row>
    <row r="10309">
      <c r="A10309" s="3" t="s">
        <v>8659</v>
      </c>
      <c r="B10309" s="3" t="s">
        <v>8601</v>
      </c>
      <c r="C10309" s="3" t="s">
        <v>9049</v>
      </c>
      <c r="D10309" s="4" t="str">
        <f t="shared" si="1385"/>
        <v>12Go Link</v>
      </c>
      <c r="E10309" s="3" t="s">
        <v>3203</v>
      </c>
      <c r="K10309" s="5"/>
    </row>
    <row r="10310">
      <c r="A10310" s="3" t="s">
        <v>8968</v>
      </c>
      <c r="B10310" s="3" t="s">
        <v>8594</v>
      </c>
      <c r="C10310" s="3" t="s">
        <v>9050</v>
      </c>
      <c r="D10310" s="4" t="str">
        <f t="shared" ref="D10310:D10312" si="1386">HYPERLINK("https://12go.asia/en/travel/Manisa-Hotel-Transfer/Adnan-Menderes-Airport", "12Go Link")</f>
        <v>12Go Link</v>
      </c>
      <c r="E10310" s="3" t="s">
        <v>3196</v>
      </c>
      <c r="K10310" s="5"/>
    </row>
    <row r="10311">
      <c r="A10311" s="3" t="s">
        <v>8968</v>
      </c>
      <c r="B10311" s="3" t="s">
        <v>8594</v>
      </c>
      <c r="C10311" s="3" t="s">
        <v>9050</v>
      </c>
      <c r="D10311" s="4" t="str">
        <f t="shared" si="1386"/>
        <v>12Go Link</v>
      </c>
      <c r="E10311" s="3" t="s">
        <v>226</v>
      </c>
      <c r="K10311" s="5"/>
    </row>
    <row r="10312">
      <c r="A10312" s="3" t="s">
        <v>8968</v>
      </c>
      <c r="B10312" s="3" t="s">
        <v>8594</v>
      </c>
      <c r="C10312" s="3" t="s">
        <v>9050</v>
      </c>
      <c r="D10312" s="4" t="str">
        <f t="shared" si="1386"/>
        <v>12Go Link</v>
      </c>
      <c r="E10312" s="3" t="s">
        <v>3203</v>
      </c>
      <c r="K10312" s="5"/>
    </row>
    <row r="10313">
      <c r="A10313" s="3" t="s">
        <v>8751</v>
      </c>
      <c r="B10313" s="3" t="s">
        <v>8563</v>
      </c>
      <c r="C10313" s="3" t="s">
        <v>9051</v>
      </c>
      <c r="D10313" s="4" t="str">
        <f t="shared" ref="D10313:D10315" si="1387">HYPERLINK("https://12go.asia/en/travel/Beldibi-Marmaris-Hotel-Transfer/Dalaman-Airport", "12Go Link")</f>
        <v>12Go Link</v>
      </c>
      <c r="E10313" s="3" t="s">
        <v>3196</v>
      </c>
      <c r="K10313" s="5"/>
    </row>
    <row r="10314">
      <c r="A10314" s="3" t="s">
        <v>8751</v>
      </c>
      <c r="B10314" s="3" t="s">
        <v>8563</v>
      </c>
      <c r="C10314" s="3" t="s">
        <v>9051</v>
      </c>
      <c r="D10314" s="4" t="str">
        <f t="shared" si="1387"/>
        <v>12Go Link</v>
      </c>
      <c r="E10314" s="3" t="s">
        <v>226</v>
      </c>
      <c r="K10314" s="5"/>
    </row>
    <row r="10315">
      <c r="A10315" s="3" t="s">
        <v>8751</v>
      </c>
      <c r="B10315" s="3" t="s">
        <v>8563</v>
      </c>
      <c r="C10315" s="3" t="s">
        <v>9051</v>
      </c>
      <c r="D10315" s="4" t="str">
        <f t="shared" si="1387"/>
        <v>12Go Link</v>
      </c>
      <c r="E10315" s="3" t="s">
        <v>3203</v>
      </c>
      <c r="K10315" s="5"/>
    </row>
    <row r="10316">
      <c r="A10316" s="3" t="s">
        <v>8751</v>
      </c>
      <c r="B10316" s="3" t="s">
        <v>8563</v>
      </c>
      <c r="C10316" s="3" t="s">
        <v>9052</v>
      </c>
      <c r="D10316" s="4" t="str">
        <f t="shared" ref="D10316:D10318" si="1388">HYPERLINK("https://12go.asia/en/travel/Marmaris-Albatros-Marina/Dalaman-Airport", "12Go Link")</f>
        <v>12Go Link</v>
      </c>
      <c r="E10316" s="3" t="s">
        <v>3196</v>
      </c>
      <c r="K10316" s="5"/>
    </row>
    <row r="10317">
      <c r="A10317" s="3" t="s">
        <v>8751</v>
      </c>
      <c r="B10317" s="3" t="s">
        <v>8563</v>
      </c>
      <c r="C10317" s="3" t="s">
        <v>9052</v>
      </c>
      <c r="D10317" s="4" t="str">
        <f t="shared" si="1388"/>
        <v>12Go Link</v>
      </c>
      <c r="E10317" s="3" t="s">
        <v>226</v>
      </c>
      <c r="K10317" s="5"/>
    </row>
    <row r="10318">
      <c r="A10318" s="3" t="s">
        <v>8751</v>
      </c>
      <c r="B10318" s="3" t="s">
        <v>8563</v>
      </c>
      <c r="C10318" s="3" t="s">
        <v>9052</v>
      </c>
      <c r="D10318" s="4" t="str">
        <f t="shared" si="1388"/>
        <v>12Go Link</v>
      </c>
      <c r="E10318" s="3" t="s">
        <v>3203</v>
      </c>
      <c r="K10318" s="5"/>
    </row>
    <row r="10319">
      <c r="A10319" s="3" t="s">
        <v>8751</v>
      </c>
      <c r="B10319" s="3" t="s">
        <v>8563</v>
      </c>
      <c r="C10319" s="3" t="s">
        <v>9053</v>
      </c>
      <c r="D10319" s="4" t="str">
        <f t="shared" ref="D10319:D10321" si="1389">HYPERLINK("https://12go.asia/en/travel/Marmaris-Cruise-Port/Dalaman-Airport", "12Go Link")</f>
        <v>12Go Link</v>
      </c>
      <c r="E10319" s="3" t="s">
        <v>3196</v>
      </c>
      <c r="K10319" s="5"/>
    </row>
    <row r="10320">
      <c r="A10320" s="3" t="s">
        <v>8751</v>
      </c>
      <c r="B10320" s="3" t="s">
        <v>8563</v>
      </c>
      <c r="C10320" s="3" t="s">
        <v>9053</v>
      </c>
      <c r="D10320" s="4" t="str">
        <f t="shared" si="1389"/>
        <v>12Go Link</v>
      </c>
      <c r="E10320" s="3" t="s">
        <v>226</v>
      </c>
      <c r="K10320" s="5"/>
    </row>
    <row r="10321">
      <c r="A10321" s="3" t="s">
        <v>8751</v>
      </c>
      <c r="B10321" s="3" t="s">
        <v>8563</v>
      </c>
      <c r="C10321" s="3" t="s">
        <v>9053</v>
      </c>
      <c r="D10321" s="4" t="str">
        <f t="shared" si="1389"/>
        <v>12Go Link</v>
      </c>
      <c r="E10321" s="3" t="s">
        <v>3203</v>
      </c>
      <c r="K10321" s="5"/>
    </row>
    <row r="10322">
      <c r="A10322" s="3" t="s">
        <v>8751</v>
      </c>
      <c r="B10322" s="3" t="s">
        <v>8563</v>
      </c>
      <c r="C10322" s="3" t="s">
        <v>9054</v>
      </c>
      <c r="D10322" s="4" t="str">
        <f t="shared" ref="D10322:D10325" si="1390">HYPERLINK("https://12go.asia/en/travel/Marmaris-Hotel-Transfer/Dalaman-Airport", "12Go Link")</f>
        <v>12Go Link</v>
      </c>
      <c r="E10322" s="3" t="s">
        <v>3481</v>
      </c>
      <c r="K10322" s="5"/>
    </row>
    <row r="10323">
      <c r="A10323" s="3" t="s">
        <v>8751</v>
      </c>
      <c r="B10323" s="3" t="s">
        <v>8563</v>
      </c>
      <c r="C10323" s="3" t="s">
        <v>9054</v>
      </c>
      <c r="D10323" s="4" t="str">
        <f t="shared" si="1390"/>
        <v>12Go Link</v>
      </c>
      <c r="E10323" s="3" t="s">
        <v>3196</v>
      </c>
      <c r="K10323" s="5"/>
    </row>
    <row r="10324">
      <c r="A10324" s="3" t="s">
        <v>8751</v>
      </c>
      <c r="B10324" s="3" t="s">
        <v>8563</v>
      </c>
      <c r="C10324" s="3" t="s">
        <v>9054</v>
      </c>
      <c r="D10324" s="4" t="str">
        <f t="shared" si="1390"/>
        <v>12Go Link</v>
      </c>
      <c r="E10324" s="3" t="s">
        <v>226</v>
      </c>
      <c r="K10324" s="5"/>
    </row>
    <row r="10325">
      <c r="A10325" s="3" t="s">
        <v>8751</v>
      </c>
      <c r="B10325" s="3" t="s">
        <v>8563</v>
      </c>
      <c r="C10325" s="3" t="s">
        <v>9054</v>
      </c>
      <c r="D10325" s="4" t="str">
        <f t="shared" si="1390"/>
        <v>12Go Link</v>
      </c>
      <c r="E10325" s="3" t="s">
        <v>3203</v>
      </c>
      <c r="K10325" s="5"/>
    </row>
    <row r="10326">
      <c r="A10326" s="3" t="s">
        <v>8751</v>
      </c>
      <c r="B10326" s="3" t="s">
        <v>8563</v>
      </c>
      <c r="C10326" s="3" t="s">
        <v>9055</v>
      </c>
      <c r="D10326" s="4" t="str">
        <f t="shared" ref="D10326:D10328" si="1391">HYPERLINK("https://12go.asia/en/travel/Marmaris-Netsel-Marina/Dalaman-Airport", "12Go Link")</f>
        <v>12Go Link</v>
      </c>
      <c r="E10326" s="3" t="s">
        <v>3196</v>
      </c>
      <c r="K10326" s="5"/>
    </row>
    <row r="10327">
      <c r="A10327" s="3" t="s">
        <v>8751</v>
      </c>
      <c r="B10327" s="3" t="s">
        <v>8563</v>
      </c>
      <c r="C10327" s="3" t="s">
        <v>9055</v>
      </c>
      <c r="D10327" s="4" t="str">
        <f t="shared" si="1391"/>
        <v>12Go Link</v>
      </c>
      <c r="E10327" s="3" t="s">
        <v>226</v>
      </c>
      <c r="K10327" s="5"/>
    </row>
    <row r="10328">
      <c r="A10328" s="3" t="s">
        <v>8751</v>
      </c>
      <c r="B10328" s="3" t="s">
        <v>8563</v>
      </c>
      <c r="C10328" s="3" t="s">
        <v>9055</v>
      </c>
      <c r="D10328" s="4" t="str">
        <f t="shared" si="1391"/>
        <v>12Go Link</v>
      </c>
      <c r="E10328" s="3" t="s">
        <v>3203</v>
      </c>
      <c r="K10328" s="5"/>
    </row>
    <row r="10329">
      <c r="A10329" s="3" t="s">
        <v>8751</v>
      </c>
      <c r="B10329" s="3" t="s">
        <v>8563</v>
      </c>
      <c r="C10329" s="3" t="s">
        <v>9056</v>
      </c>
      <c r="D10329" s="4" t="str">
        <f t="shared" ref="D10329:D10331" si="1392">HYPERLINK("https://12go.asia/en/travel/Marmaris-Yacht-Marina/Dalaman-Airport", "12Go Link")</f>
        <v>12Go Link</v>
      </c>
      <c r="E10329" s="3" t="s">
        <v>3196</v>
      </c>
      <c r="K10329" s="5"/>
    </row>
    <row r="10330">
      <c r="A10330" s="3" t="s">
        <v>8751</v>
      </c>
      <c r="B10330" s="3" t="s">
        <v>8563</v>
      </c>
      <c r="C10330" s="3" t="s">
        <v>9056</v>
      </c>
      <c r="D10330" s="4" t="str">
        <f t="shared" si="1392"/>
        <v>12Go Link</v>
      </c>
      <c r="E10330" s="3" t="s">
        <v>226</v>
      </c>
      <c r="K10330" s="5"/>
    </row>
    <row r="10331">
      <c r="A10331" s="3" t="s">
        <v>8751</v>
      </c>
      <c r="B10331" s="3" t="s">
        <v>8563</v>
      </c>
      <c r="C10331" s="3" t="s">
        <v>9056</v>
      </c>
      <c r="D10331" s="4" t="str">
        <f t="shared" si="1392"/>
        <v>12Go Link</v>
      </c>
      <c r="E10331" s="3" t="s">
        <v>3203</v>
      </c>
      <c r="K10331" s="5"/>
    </row>
    <row r="10332">
      <c r="A10332" s="3" t="s">
        <v>8751</v>
      </c>
      <c r="B10332" s="3" t="s">
        <v>8594</v>
      </c>
      <c r="C10332" s="3" t="s">
        <v>9057</v>
      </c>
      <c r="D10332" s="4" t="str">
        <f t="shared" ref="D10332:D10334" si="1393">HYPERLINK("https://12go.asia/en/travel/Marmaris-Hotel-Transfer/Adnan-Menderes-Airport", "12Go Link")</f>
        <v>12Go Link</v>
      </c>
      <c r="E10332" s="3" t="s">
        <v>3196</v>
      </c>
      <c r="K10332" s="5"/>
    </row>
    <row r="10333">
      <c r="A10333" s="3" t="s">
        <v>8751</v>
      </c>
      <c r="B10333" s="3" t="s">
        <v>8594</v>
      </c>
      <c r="C10333" s="3" t="s">
        <v>9057</v>
      </c>
      <c r="D10333" s="4" t="str">
        <f t="shared" si="1393"/>
        <v>12Go Link</v>
      </c>
      <c r="E10333" s="3" t="s">
        <v>226</v>
      </c>
      <c r="K10333" s="5"/>
    </row>
    <row r="10334">
      <c r="A10334" s="3" t="s">
        <v>8751</v>
      </c>
      <c r="B10334" s="3" t="s">
        <v>8594</v>
      </c>
      <c r="C10334" s="3" t="s">
        <v>9057</v>
      </c>
      <c r="D10334" s="4" t="str">
        <f t="shared" si="1393"/>
        <v>12Go Link</v>
      </c>
      <c r="E10334" s="3" t="s">
        <v>3203</v>
      </c>
      <c r="K10334" s="5"/>
    </row>
    <row r="10335">
      <c r="A10335" s="3" t="s">
        <v>8751</v>
      </c>
      <c r="B10335" s="3" t="s">
        <v>8594</v>
      </c>
      <c r="C10335" s="3" t="s">
        <v>9058</v>
      </c>
      <c r="D10335" s="4" t="str">
        <f t="shared" ref="D10335:D10337" si="1394">HYPERLINK("https://12go.asia/en/travel/Marmaris-Yacht-Marina/Adnan-Menderes-Airport", "12Go Link")</f>
        <v>12Go Link</v>
      </c>
      <c r="E10335" s="3" t="s">
        <v>3196</v>
      </c>
      <c r="K10335" s="5"/>
    </row>
    <row r="10336">
      <c r="A10336" s="3" t="s">
        <v>8751</v>
      </c>
      <c r="B10336" s="3" t="s">
        <v>8594</v>
      </c>
      <c r="C10336" s="3" t="s">
        <v>9058</v>
      </c>
      <c r="D10336" s="4" t="str">
        <f t="shared" si="1394"/>
        <v>12Go Link</v>
      </c>
      <c r="E10336" s="3" t="s">
        <v>226</v>
      </c>
      <c r="K10336" s="5"/>
    </row>
    <row r="10337">
      <c r="A10337" s="3" t="s">
        <v>8751</v>
      </c>
      <c r="B10337" s="3" t="s">
        <v>8594</v>
      </c>
      <c r="C10337" s="3" t="s">
        <v>9058</v>
      </c>
      <c r="D10337" s="4" t="str">
        <f t="shared" si="1394"/>
        <v>12Go Link</v>
      </c>
      <c r="E10337" s="3" t="s">
        <v>3203</v>
      </c>
      <c r="K10337" s="5"/>
    </row>
    <row r="10338">
      <c r="A10338" s="3" t="s">
        <v>8972</v>
      </c>
      <c r="B10338" s="3" t="s">
        <v>8594</v>
      </c>
      <c r="C10338" s="3" t="s">
        <v>9059</v>
      </c>
      <c r="D10338" s="4" t="str">
        <f t="shared" ref="D10338:D10340" si="1395">HYPERLINK("https://12go.asia/en/travel/Mordogan-Hotel-Transfer/Adnan-Menderes-Airport", "12Go Link")</f>
        <v>12Go Link</v>
      </c>
      <c r="E10338" s="3" t="s">
        <v>3196</v>
      </c>
      <c r="K10338" s="5"/>
    </row>
    <row r="10339">
      <c r="A10339" s="3" t="s">
        <v>8972</v>
      </c>
      <c r="B10339" s="3" t="s">
        <v>8594</v>
      </c>
      <c r="C10339" s="3" t="s">
        <v>9059</v>
      </c>
      <c r="D10339" s="4" t="str">
        <f t="shared" si="1395"/>
        <v>12Go Link</v>
      </c>
      <c r="E10339" s="3" t="s">
        <v>226</v>
      </c>
      <c r="K10339" s="5"/>
    </row>
    <row r="10340">
      <c r="A10340" s="3" t="s">
        <v>8972</v>
      </c>
      <c r="B10340" s="3" t="s">
        <v>8594</v>
      </c>
      <c r="C10340" s="3" t="s">
        <v>9059</v>
      </c>
      <c r="D10340" s="4" t="str">
        <f t="shared" si="1395"/>
        <v>12Go Link</v>
      </c>
      <c r="E10340" s="3" t="s">
        <v>3203</v>
      </c>
      <c r="K10340" s="5"/>
    </row>
    <row r="10341">
      <c r="A10341" s="3" t="s">
        <v>9031</v>
      </c>
      <c r="B10341" s="3" t="s">
        <v>8579</v>
      </c>
      <c r="C10341" s="3" t="s">
        <v>9060</v>
      </c>
      <c r="D10341" s="4" t="str">
        <f t="shared" ref="D10341:D10342" si="1396">HYPERLINK("https://12go.asia/en/travel/Nar-Hotel-Transfer/Kayseri-Airport", "12Go Link")</f>
        <v>12Go Link</v>
      </c>
      <c r="E10341" s="3" t="s">
        <v>3196</v>
      </c>
      <c r="K10341" s="5"/>
    </row>
    <row r="10342">
      <c r="A10342" s="3" t="s">
        <v>9031</v>
      </c>
      <c r="B10342" s="3" t="s">
        <v>8579</v>
      </c>
      <c r="C10342" s="3" t="s">
        <v>9060</v>
      </c>
      <c r="D10342" s="4" t="str">
        <f t="shared" si="1396"/>
        <v>12Go Link</v>
      </c>
      <c r="E10342" s="3" t="s">
        <v>3203</v>
      </c>
      <c r="K10342" s="5"/>
    </row>
    <row r="10343">
      <c r="A10343" s="3" t="s">
        <v>9031</v>
      </c>
      <c r="B10343" s="3" t="s">
        <v>8581</v>
      </c>
      <c r="C10343" s="3" t="s">
        <v>9061</v>
      </c>
      <c r="D10343" s="4" t="str">
        <f t="shared" ref="D10343:D10344" si="1397">HYPERLINK("https://12go.asia/en/travel/Nar-Hotel-Transfer/Nevsehir-Kapadokya-Airport", "12Go Link")</f>
        <v>12Go Link</v>
      </c>
      <c r="E10343" s="3" t="s">
        <v>3196</v>
      </c>
      <c r="K10343" s="5"/>
    </row>
    <row r="10344">
      <c r="A10344" s="3" t="s">
        <v>9031</v>
      </c>
      <c r="B10344" s="3" t="s">
        <v>8581</v>
      </c>
      <c r="C10344" s="3" t="s">
        <v>9061</v>
      </c>
      <c r="D10344" s="4" t="str">
        <f t="shared" si="1397"/>
        <v>12Go Link</v>
      </c>
      <c r="E10344" s="3" t="s">
        <v>3203</v>
      </c>
      <c r="K10344" s="5"/>
    </row>
    <row r="10345">
      <c r="A10345" s="3" t="s">
        <v>8974</v>
      </c>
      <c r="B10345" s="3" t="s">
        <v>8594</v>
      </c>
      <c r="C10345" s="3" t="s">
        <v>9062</v>
      </c>
      <c r="D10345" s="4" t="str">
        <f t="shared" ref="D10345:D10347" si="1398">HYPERLINK("https://12go.asia/en/travel/Nazilli-Hotel-Transfer/Adnan-Menderes-Airport", "12Go Link")</f>
        <v>12Go Link</v>
      </c>
      <c r="E10345" s="3" t="s">
        <v>3196</v>
      </c>
      <c r="K10345" s="5"/>
    </row>
    <row r="10346">
      <c r="A10346" s="3" t="s">
        <v>8974</v>
      </c>
      <c r="B10346" s="3" t="s">
        <v>8594</v>
      </c>
      <c r="C10346" s="3" t="s">
        <v>9062</v>
      </c>
      <c r="D10346" s="4" t="str">
        <f t="shared" si="1398"/>
        <v>12Go Link</v>
      </c>
      <c r="E10346" s="3" t="s">
        <v>226</v>
      </c>
      <c r="K10346" s="5"/>
    </row>
    <row r="10347">
      <c r="A10347" s="3" t="s">
        <v>8974</v>
      </c>
      <c r="B10347" s="3" t="s">
        <v>8594</v>
      </c>
      <c r="C10347" s="3" t="s">
        <v>9062</v>
      </c>
      <c r="D10347" s="4" t="str">
        <f t="shared" si="1398"/>
        <v>12Go Link</v>
      </c>
      <c r="E10347" s="3" t="s">
        <v>3203</v>
      </c>
      <c r="K10347" s="5"/>
    </row>
    <row r="10348">
      <c r="A10348" s="3" t="s">
        <v>8581</v>
      </c>
      <c r="B10348" s="3" t="s">
        <v>8566</v>
      </c>
      <c r="C10348" s="3" t="s">
        <v>9063</v>
      </c>
      <c r="D10348" s="4" t="str">
        <f t="shared" ref="D10348:D10351" si="1399">HYPERLINK("https://12go.asia/en/travel/Nevsehir-Kapadokya-Airport/Avanos-Hotel-Transfer", "12Go Link")</f>
        <v>12Go Link</v>
      </c>
      <c r="E10348" s="3" t="s">
        <v>8568</v>
      </c>
      <c r="K10348" s="5"/>
    </row>
    <row r="10349">
      <c r="A10349" s="3" t="s">
        <v>8581</v>
      </c>
      <c r="B10349" s="3" t="s">
        <v>8566</v>
      </c>
      <c r="C10349" s="3" t="s">
        <v>9063</v>
      </c>
      <c r="D10349" s="4" t="str">
        <f t="shared" si="1399"/>
        <v>12Go Link</v>
      </c>
      <c r="E10349" s="3" t="s">
        <v>3196</v>
      </c>
      <c r="K10349" s="5"/>
    </row>
    <row r="10350">
      <c r="A10350" s="3" t="s">
        <v>8581</v>
      </c>
      <c r="B10350" s="3" t="s">
        <v>8566</v>
      </c>
      <c r="C10350" s="3" t="s">
        <v>9063</v>
      </c>
      <c r="D10350" s="4" t="str">
        <f t="shared" si="1399"/>
        <v>12Go Link</v>
      </c>
      <c r="E10350" s="3" t="s">
        <v>3203</v>
      </c>
      <c r="K10350" s="5"/>
    </row>
    <row r="10351">
      <c r="A10351" s="3" t="s">
        <v>8581</v>
      </c>
      <c r="B10351" s="3" t="s">
        <v>8566</v>
      </c>
      <c r="C10351" s="3" t="s">
        <v>9063</v>
      </c>
      <c r="D10351" s="4" t="str">
        <f t="shared" si="1399"/>
        <v>12Go Link</v>
      </c>
      <c r="E10351" s="3" t="s">
        <v>228</v>
      </c>
      <c r="K10351" s="5"/>
    </row>
    <row r="10352">
      <c r="A10352" s="3" t="s">
        <v>8581</v>
      </c>
      <c r="B10352" s="3" t="s">
        <v>8570</v>
      </c>
      <c r="C10352" s="3" t="s">
        <v>9064</v>
      </c>
      <c r="D10352" s="4" t="str">
        <f t="shared" ref="D10352:D10355" si="1400">HYPERLINK("https://12go.asia/en/travel/Nevsehir-Kapadokya-Airport/Cappadocia-Hotel-Transfer", "12Go Link")</f>
        <v>12Go Link</v>
      </c>
      <c r="E10352" s="3" t="s">
        <v>8568</v>
      </c>
      <c r="K10352" s="5"/>
    </row>
    <row r="10353">
      <c r="A10353" s="3" t="s">
        <v>8581</v>
      </c>
      <c r="B10353" s="3" t="s">
        <v>8570</v>
      </c>
      <c r="C10353" s="3" t="s">
        <v>9064</v>
      </c>
      <c r="D10353" s="4" t="str">
        <f t="shared" si="1400"/>
        <v>12Go Link</v>
      </c>
      <c r="E10353" s="3" t="s">
        <v>3196</v>
      </c>
      <c r="K10353" s="5"/>
    </row>
    <row r="10354">
      <c r="A10354" s="3" t="s">
        <v>8581</v>
      </c>
      <c r="B10354" s="3" t="s">
        <v>8570</v>
      </c>
      <c r="C10354" s="3" t="s">
        <v>9064</v>
      </c>
      <c r="D10354" s="4" t="str">
        <f t="shared" si="1400"/>
        <v>12Go Link</v>
      </c>
      <c r="E10354" s="3" t="s">
        <v>3203</v>
      </c>
      <c r="K10354" s="5"/>
    </row>
    <row r="10355">
      <c r="A10355" s="3" t="s">
        <v>8581</v>
      </c>
      <c r="B10355" s="3" t="s">
        <v>8570</v>
      </c>
      <c r="C10355" s="3" t="s">
        <v>9064</v>
      </c>
      <c r="D10355" s="4" t="str">
        <f t="shared" si="1400"/>
        <v>12Go Link</v>
      </c>
      <c r="E10355" s="3" t="s">
        <v>228</v>
      </c>
      <c r="K10355" s="5"/>
    </row>
    <row r="10356">
      <c r="A10356" s="3" t="s">
        <v>8581</v>
      </c>
      <c r="B10356" s="3" t="s">
        <v>8573</v>
      </c>
      <c r="C10356" s="3" t="s">
        <v>9065</v>
      </c>
      <c r="D10356" s="4" t="str">
        <f t="shared" ref="D10356:D10359" si="1401">HYPERLINK("https://12go.asia/en/travel/Nevsehir-Kapadokya-Airport/Cavusin-Hotel-Transfer", "12Go Link")</f>
        <v>12Go Link</v>
      </c>
      <c r="E10356" s="3" t="s">
        <v>8568</v>
      </c>
      <c r="K10356" s="5"/>
    </row>
    <row r="10357">
      <c r="A10357" s="3" t="s">
        <v>8581</v>
      </c>
      <c r="B10357" s="3" t="s">
        <v>8573</v>
      </c>
      <c r="C10357" s="3" t="s">
        <v>9065</v>
      </c>
      <c r="D10357" s="4" t="str">
        <f t="shared" si="1401"/>
        <v>12Go Link</v>
      </c>
      <c r="E10357" s="3" t="s">
        <v>3196</v>
      </c>
      <c r="K10357" s="5"/>
    </row>
    <row r="10358">
      <c r="A10358" s="3" t="s">
        <v>8581</v>
      </c>
      <c r="B10358" s="3" t="s">
        <v>8573</v>
      </c>
      <c r="C10358" s="3" t="s">
        <v>9065</v>
      </c>
      <c r="D10358" s="4" t="str">
        <f t="shared" si="1401"/>
        <v>12Go Link</v>
      </c>
      <c r="E10358" s="3" t="s">
        <v>3203</v>
      </c>
      <c r="K10358" s="5"/>
    </row>
    <row r="10359">
      <c r="A10359" s="3" t="s">
        <v>8581</v>
      </c>
      <c r="B10359" s="3" t="s">
        <v>8573</v>
      </c>
      <c r="C10359" s="3" t="s">
        <v>9065</v>
      </c>
      <c r="D10359" s="4" t="str">
        <f t="shared" si="1401"/>
        <v>12Go Link</v>
      </c>
      <c r="E10359" s="3" t="s">
        <v>228</v>
      </c>
      <c r="K10359" s="5"/>
    </row>
    <row r="10360">
      <c r="A10360" s="3" t="s">
        <v>8581</v>
      </c>
      <c r="B10360" s="3" t="s">
        <v>8576</v>
      </c>
      <c r="C10360" s="3" t="s">
        <v>9066</v>
      </c>
      <c r="D10360" s="4" t="str">
        <f t="shared" ref="D10360:D10363" si="1402">HYPERLINK("https://12go.asia/en/travel/Nevsehir-Kapadokya-Airport/Goreme-Hotel-Transfer", "12Go Link")</f>
        <v>12Go Link</v>
      </c>
      <c r="E10360" s="3" t="s">
        <v>8568</v>
      </c>
      <c r="K10360" s="5"/>
    </row>
    <row r="10361">
      <c r="A10361" s="3" t="s">
        <v>8581</v>
      </c>
      <c r="B10361" s="3" t="s">
        <v>8576</v>
      </c>
      <c r="C10361" s="3" t="s">
        <v>9066</v>
      </c>
      <c r="D10361" s="4" t="str">
        <f t="shared" si="1402"/>
        <v>12Go Link</v>
      </c>
      <c r="E10361" s="3" t="s">
        <v>3196</v>
      </c>
      <c r="K10361" s="5"/>
    </row>
    <row r="10362">
      <c r="A10362" s="3" t="s">
        <v>8581</v>
      </c>
      <c r="B10362" s="3" t="s">
        <v>8576</v>
      </c>
      <c r="C10362" s="3" t="s">
        <v>9066</v>
      </c>
      <c r="D10362" s="4" t="str">
        <f t="shared" si="1402"/>
        <v>12Go Link</v>
      </c>
      <c r="E10362" s="3" t="s">
        <v>3203</v>
      </c>
      <c r="K10362" s="5"/>
    </row>
    <row r="10363">
      <c r="A10363" s="3" t="s">
        <v>8581</v>
      </c>
      <c r="B10363" s="3" t="s">
        <v>8576</v>
      </c>
      <c r="C10363" s="3" t="s">
        <v>9066</v>
      </c>
      <c r="D10363" s="4" t="str">
        <f t="shared" si="1402"/>
        <v>12Go Link</v>
      </c>
      <c r="E10363" s="3" t="s">
        <v>228</v>
      </c>
      <c r="K10363" s="5"/>
    </row>
    <row r="10364">
      <c r="A10364" s="3" t="s">
        <v>8581</v>
      </c>
      <c r="B10364" s="3" t="s">
        <v>8824</v>
      </c>
      <c r="C10364" s="3" t="s">
        <v>9067</v>
      </c>
      <c r="D10364" s="4" t="str">
        <f t="shared" ref="D10364:D10365" si="1403">HYPERLINK("https://12go.asia/en/travel/Nevsehir-Kapadokya-Airport/Ibrahimpasa-Hotel-Transfer", "12Go Link")</f>
        <v>12Go Link</v>
      </c>
      <c r="E10364" s="3" t="s">
        <v>3196</v>
      </c>
      <c r="K10364" s="5"/>
    </row>
    <row r="10365">
      <c r="A10365" s="3" t="s">
        <v>8581</v>
      </c>
      <c r="B10365" s="3" t="s">
        <v>8824</v>
      </c>
      <c r="C10365" s="3" t="s">
        <v>9067</v>
      </c>
      <c r="D10365" s="4" t="str">
        <f t="shared" si="1403"/>
        <v>12Go Link</v>
      </c>
      <c r="E10365" s="3" t="s">
        <v>3203</v>
      </c>
      <c r="K10365" s="5"/>
    </row>
    <row r="10366">
      <c r="A10366" s="3" t="s">
        <v>8581</v>
      </c>
      <c r="B10366" s="3" t="s">
        <v>8579</v>
      </c>
      <c r="C10366" s="3" t="s">
        <v>9068</v>
      </c>
      <c r="D10366" s="4" t="str">
        <f t="shared" ref="D10366:D10367" si="1404">HYPERLINK("https://12go.asia/en/travel/Nevsehir-Hotel-Transfer/Kayseri-Airport", "12Go Link")</f>
        <v>12Go Link</v>
      </c>
      <c r="E10366" s="3" t="s">
        <v>3196</v>
      </c>
      <c r="K10366" s="5"/>
    </row>
    <row r="10367">
      <c r="A10367" s="3" t="s">
        <v>8581</v>
      </c>
      <c r="B10367" s="3" t="s">
        <v>8579</v>
      </c>
      <c r="C10367" s="3" t="s">
        <v>9068</v>
      </c>
      <c r="D10367" s="4" t="str">
        <f t="shared" si="1404"/>
        <v>12Go Link</v>
      </c>
      <c r="E10367" s="3" t="s">
        <v>3203</v>
      </c>
      <c r="K10367" s="5"/>
    </row>
    <row r="10368">
      <c r="A10368" s="3" t="s">
        <v>8581</v>
      </c>
      <c r="B10368" s="3" t="s">
        <v>9031</v>
      </c>
      <c r="C10368" s="3" t="s">
        <v>9069</v>
      </c>
      <c r="D10368" s="4" t="str">
        <f t="shared" ref="D10368:D10369" si="1405">HYPERLINK("https://12go.asia/en/travel/Nevsehir-Kapadokya-Airport/Nar-Hotel-Transfer", "12Go Link")</f>
        <v>12Go Link</v>
      </c>
      <c r="E10368" s="3" t="s">
        <v>3196</v>
      </c>
      <c r="K10368" s="5"/>
    </row>
    <row r="10369">
      <c r="A10369" s="3" t="s">
        <v>8581</v>
      </c>
      <c r="B10369" s="3" t="s">
        <v>9031</v>
      </c>
      <c r="C10369" s="3" t="s">
        <v>9069</v>
      </c>
      <c r="D10369" s="4" t="str">
        <f t="shared" si="1405"/>
        <v>12Go Link</v>
      </c>
      <c r="E10369" s="3" t="s">
        <v>3203</v>
      </c>
      <c r="K10369" s="5"/>
    </row>
    <row r="10370">
      <c r="A10370" s="3" t="s">
        <v>8581</v>
      </c>
      <c r="B10370" s="3" t="s">
        <v>8581</v>
      </c>
      <c r="C10370" s="3" t="s">
        <v>9070</v>
      </c>
      <c r="D10370" s="4" t="str">
        <f t="shared" ref="D10370:D10371" si="1406">HYPERLINK("https://12go.asia/en/travel/Nevsehir-Hotel-Transfer/Nevsehir-Kapadokya-Airport", "12Go Link")</f>
        <v>12Go Link</v>
      </c>
      <c r="E10370" s="3" t="s">
        <v>3196</v>
      </c>
      <c r="K10370" s="5"/>
    </row>
    <row r="10371">
      <c r="A10371" s="3" t="s">
        <v>8581</v>
      </c>
      <c r="B10371" s="3" t="s">
        <v>8581</v>
      </c>
      <c r="C10371" s="3" t="s">
        <v>9070</v>
      </c>
      <c r="D10371" s="4" t="str">
        <f t="shared" si="1406"/>
        <v>12Go Link</v>
      </c>
      <c r="E10371" s="3" t="s">
        <v>3203</v>
      </c>
      <c r="K10371" s="5"/>
    </row>
    <row r="10372">
      <c r="A10372" s="3" t="s">
        <v>8581</v>
      </c>
      <c r="B10372" s="3" t="s">
        <v>8581</v>
      </c>
      <c r="C10372" s="3" t="s">
        <v>9071</v>
      </c>
      <c r="D10372" s="4" t="str">
        <f t="shared" ref="D10372:D10375" si="1407">HYPERLINK("https://12go.asia/en/travel/Nevsehir-Kapadokya-Airport/Nevsehir-Hotel-Transfer", "12Go Link")</f>
        <v>12Go Link</v>
      </c>
      <c r="E10372" s="3" t="s">
        <v>8568</v>
      </c>
      <c r="K10372" s="5"/>
    </row>
    <row r="10373">
      <c r="A10373" s="3" t="s">
        <v>8581</v>
      </c>
      <c r="B10373" s="3" t="s">
        <v>8581</v>
      </c>
      <c r="C10373" s="3" t="s">
        <v>9071</v>
      </c>
      <c r="D10373" s="4" t="str">
        <f t="shared" si="1407"/>
        <v>12Go Link</v>
      </c>
      <c r="E10373" s="3" t="s">
        <v>3196</v>
      </c>
      <c r="K10373" s="5"/>
    </row>
    <row r="10374">
      <c r="A10374" s="3" t="s">
        <v>8581</v>
      </c>
      <c r="B10374" s="3" t="s">
        <v>8581</v>
      </c>
      <c r="C10374" s="3" t="s">
        <v>9071</v>
      </c>
      <c r="D10374" s="4" t="str">
        <f t="shared" si="1407"/>
        <v>12Go Link</v>
      </c>
      <c r="E10374" s="3" t="s">
        <v>3203</v>
      </c>
      <c r="K10374" s="5"/>
    </row>
    <row r="10375">
      <c r="A10375" s="3" t="s">
        <v>8581</v>
      </c>
      <c r="B10375" s="3" t="s">
        <v>8581</v>
      </c>
      <c r="C10375" s="3" t="s">
        <v>9071</v>
      </c>
      <c r="D10375" s="4" t="str">
        <f t="shared" si="1407"/>
        <v>12Go Link</v>
      </c>
      <c r="E10375" s="3" t="s">
        <v>228</v>
      </c>
      <c r="K10375" s="5"/>
    </row>
    <row r="10376">
      <c r="A10376" s="3" t="s">
        <v>8581</v>
      </c>
      <c r="B10376" s="3" t="s">
        <v>8584</v>
      </c>
      <c r="C10376" s="3" t="s">
        <v>9072</v>
      </c>
      <c r="D10376" s="4" t="str">
        <f t="shared" ref="D10376:D10379" si="1408">HYPERLINK("https://12go.asia/en/travel/Nevsehir-Kapadokya-Airport/Ortahisar-Hotel-Transfer", "12Go Link")</f>
        <v>12Go Link</v>
      </c>
      <c r="E10376" s="3" t="s">
        <v>8568</v>
      </c>
      <c r="K10376" s="5"/>
    </row>
    <row r="10377">
      <c r="A10377" s="3" t="s">
        <v>8581</v>
      </c>
      <c r="B10377" s="3" t="s">
        <v>8584</v>
      </c>
      <c r="C10377" s="3" t="s">
        <v>9072</v>
      </c>
      <c r="D10377" s="4" t="str">
        <f t="shared" si="1408"/>
        <v>12Go Link</v>
      </c>
      <c r="E10377" s="3" t="s">
        <v>3196</v>
      </c>
      <c r="K10377" s="5"/>
    </row>
    <row r="10378">
      <c r="A10378" s="3" t="s">
        <v>8581</v>
      </c>
      <c r="B10378" s="3" t="s">
        <v>8584</v>
      </c>
      <c r="C10378" s="3" t="s">
        <v>9072</v>
      </c>
      <c r="D10378" s="4" t="str">
        <f t="shared" si="1408"/>
        <v>12Go Link</v>
      </c>
      <c r="E10378" s="3" t="s">
        <v>3203</v>
      </c>
      <c r="K10378" s="5"/>
    </row>
    <row r="10379">
      <c r="A10379" s="3" t="s">
        <v>8581</v>
      </c>
      <c r="B10379" s="3" t="s">
        <v>8584</v>
      </c>
      <c r="C10379" s="3" t="s">
        <v>9072</v>
      </c>
      <c r="D10379" s="4" t="str">
        <f t="shared" si="1408"/>
        <v>12Go Link</v>
      </c>
      <c r="E10379" s="3" t="s">
        <v>228</v>
      </c>
      <c r="K10379" s="5"/>
    </row>
    <row r="10380">
      <c r="A10380" s="3" t="s">
        <v>8581</v>
      </c>
      <c r="B10380" s="3" t="s">
        <v>8587</v>
      </c>
      <c r="C10380" s="3" t="s">
        <v>9073</v>
      </c>
      <c r="D10380" s="4" t="str">
        <f t="shared" ref="D10380:D10383" si="1409">HYPERLINK("https://12go.asia/en/travel/Nevsehir-Kapadokya-Airport/Uchisar-Hotel-Transfer", "12Go Link")</f>
        <v>12Go Link</v>
      </c>
      <c r="E10380" s="3" t="s">
        <v>8568</v>
      </c>
      <c r="K10380" s="5"/>
    </row>
    <row r="10381">
      <c r="A10381" s="3" t="s">
        <v>8581</v>
      </c>
      <c r="B10381" s="3" t="s">
        <v>8587</v>
      </c>
      <c r="C10381" s="3" t="s">
        <v>9073</v>
      </c>
      <c r="D10381" s="4" t="str">
        <f t="shared" si="1409"/>
        <v>12Go Link</v>
      </c>
      <c r="E10381" s="3" t="s">
        <v>3196</v>
      </c>
      <c r="K10381" s="5"/>
    </row>
    <row r="10382">
      <c r="A10382" s="3" t="s">
        <v>8581</v>
      </c>
      <c r="B10382" s="3" t="s">
        <v>8587</v>
      </c>
      <c r="C10382" s="3" t="s">
        <v>9073</v>
      </c>
      <c r="D10382" s="4" t="str">
        <f t="shared" si="1409"/>
        <v>12Go Link</v>
      </c>
      <c r="E10382" s="3" t="s">
        <v>3203</v>
      </c>
      <c r="K10382" s="5"/>
    </row>
    <row r="10383">
      <c r="A10383" s="3" t="s">
        <v>8581</v>
      </c>
      <c r="B10383" s="3" t="s">
        <v>8587</v>
      </c>
      <c r="C10383" s="3" t="s">
        <v>9073</v>
      </c>
      <c r="D10383" s="4" t="str">
        <f t="shared" si="1409"/>
        <v>12Go Link</v>
      </c>
      <c r="E10383" s="3" t="s">
        <v>228</v>
      </c>
      <c r="K10383" s="5"/>
    </row>
    <row r="10384">
      <c r="A10384" s="3" t="s">
        <v>8581</v>
      </c>
      <c r="B10384" s="3" t="s">
        <v>8590</v>
      </c>
      <c r="C10384" s="3" t="s">
        <v>9074</v>
      </c>
      <c r="D10384" s="4" t="str">
        <f t="shared" ref="D10384:D10387" si="1410">HYPERLINK("https://12go.asia/en/travel/Nevsehir-Kapadokya-Airport/Urgup-Hotel-Transfer", "12Go Link")</f>
        <v>12Go Link</v>
      </c>
      <c r="E10384" s="3" t="s">
        <v>8568</v>
      </c>
      <c r="K10384" s="5"/>
    </row>
    <row r="10385">
      <c r="A10385" s="3" t="s">
        <v>8581</v>
      </c>
      <c r="B10385" s="3" t="s">
        <v>8590</v>
      </c>
      <c r="C10385" s="3" t="s">
        <v>9074</v>
      </c>
      <c r="D10385" s="4" t="str">
        <f t="shared" si="1410"/>
        <v>12Go Link</v>
      </c>
      <c r="E10385" s="3" t="s">
        <v>3196</v>
      </c>
      <c r="K10385" s="5"/>
    </row>
    <row r="10386">
      <c r="A10386" s="3" t="s">
        <v>8581</v>
      </c>
      <c r="B10386" s="3" t="s">
        <v>8590</v>
      </c>
      <c r="C10386" s="3" t="s">
        <v>9074</v>
      </c>
      <c r="D10386" s="4" t="str">
        <f t="shared" si="1410"/>
        <v>12Go Link</v>
      </c>
      <c r="E10386" s="3" t="s">
        <v>3203</v>
      </c>
      <c r="K10386" s="5"/>
    </row>
    <row r="10387">
      <c r="A10387" s="3" t="s">
        <v>8581</v>
      </c>
      <c r="B10387" s="3" t="s">
        <v>8590</v>
      </c>
      <c r="C10387" s="3" t="s">
        <v>9074</v>
      </c>
      <c r="D10387" s="4" t="str">
        <f t="shared" si="1410"/>
        <v>12Go Link</v>
      </c>
      <c r="E10387" s="3" t="s">
        <v>228</v>
      </c>
      <c r="K10387" s="5"/>
    </row>
    <row r="10388">
      <c r="A10388" s="3" t="s">
        <v>9034</v>
      </c>
      <c r="B10388" s="3" t="s">
        <v>8579</v>
      </c>
      <c r="C10388" s="3" t="s">
        <v>9075</v>
      </c>
      <c r="D10388" s="4" t="str">
        <f t="shared" ref="D10388:D10389" si="1411">HYPERLINK("https://12go.asia/en/travel/Nigde-Hotel-Transfer/Kayseri-Airport", "12Go Link")</f>
        <v>12Go Link</v>
      </c>
      <c r="E10388" s="3" t="s">
        <v>3196</v>
      </c>
      <c r="K10388" s="5"/>
    </row>
    <row r="10389">
      <c r="A10389" s="3" t="s">
        <v>9034</v>
      </c>
      <c r="B10389" s="3" t="s">
        <v>8579</v>
      </c>
      <c r="C10389" s="3" t="s">
        <v>9075</v>
      </c>
      <c r="D10389" s="4" t="str">
        <f t="shared" si="1411"/>
        <v>12Go Link</v>
      </c>
      <c r="E10389" s="3" t="s">
        <v>3203</v>
      </c>
      <c r="K10389" s="5"/>
    </row>
    <row r="10390">
      <c r="A10390" s="3" t="s">
        <v>8662</v>
      </c>
      <c r="B10390" s="3" t="s">
        <v>8601</v>
      </c>
      <c r="C10390" s="3" t="s">
        <v>9076</v>
      </c>
      <c r="D10390" s="4" t="str">
        <f t="shared" ref="D10390:D10392" si="1412">HYPERLINK("https://12go.asia/en/travel/Okurcalar-Hotel-Transfer/Antalya-Airport", "12Go Link")</f>
        <v>12Go Link</v>
      </c>
      <c r="E10390" s="3" t="s">
        <v>3196</v>
      </c>
      <c r="K10390" s="5"/>
    </row>
    <row r="10391">
      <c r="A10391" s="3" t="s">
        <v>8662</v>
      </c>
      <c r="B10391" s="3" t="s">
        <v>8601</v>
      </c>
      <c r="C10391" s="3" t="s">
        <v>9076</v>
      </c>
      <c r="D10391" s="4" t="str">
        <f t="shared" si="1412"/>
        <v>12Go Link</v>
      </c>
      <c r="E10391" s="3" t="s">
        <v>226</v>
      </c>
      <c r="K10391" s="5"/>
    </row>
    <row r="10392">
      <c r="A10392" s="3" t="s">
        <v>8662</v>
      </c>
      <c r="B10392" s="3" t="s">
        <v>8601</v>
      </c>
      <c r="C10392" s="3" t="s">
        <v>9076</v>
      </c>
      <c r="D10392" s="4" t="str">
        <f t="shared" si="1412"/>
        <v>12Go Link</v>
      </c>
      <c r="E10392" s="3" t="s">
        <v>3203</v>
      </c>
      <c r="K10392" s="5"/>
    </row>
    <row r="10393">
      <c r="A10393" s="3" t="s">
        <v>8758</v>
      </c>
      <c r="B10393" s="3" t="s">
        <v>8563</v>
      </c>
      <c r="C10393" s="3" t="s">
        <v>9077</v>
      </c>
      <c r="D10393" s="4" t="str">
        <f t="shared" ref="D10393:D10395" si="1413">HYPERLINK("https://12go.asia/en/travel/Fethiye-Hisaronu-Hotel-Transfer/Dalaman-Airport", "12Go Link")</f>
        <v>12Go Link</v>
      </c>
      <c r="E10393" s="3" t="s">
        <v>3196</v>
      </c>
      <c r="K10393" s="5"/>
    </row>
    <row r="10394">
      <c r="A10394" s="3" t="s">
        <v>8758</v>
      </c>
      <c r="B10394" s="3" t="s">
        <v>8563</v>
      </c>
      <c r="C10394" s="3" t="s">
        <v>9077</v>
      </c>
      <c r="D10394" s="4" t="str">
        <f t="shared" si="1413"/>
        <v>12Go Link</v>
      </c>
      <c r="E10394" s="3" t="s">
        <v>226</v>
      </c>
      <c r="K10394" s="5"/>
    </row>
    <row r="10395">
      <c r="A10395" s="3" t="s">
        <v>8758</v>
      </c>
      <c r="B10395" s="3" t="s">
        <v>8563</v>
      </c>
      <c r="C10395" s="3" t="s">
        <v>9077</v>
      </c>
      <c r="D10395" s="4" t="str">
        <f t="shared" si="1413"/>
        <v>12Go Link</v>
      </c>
      <c r="E10395" s="3" t="s">
        <v>3203</v>
      </c>
      <c r="K10395" s="5"/>
    </row>
    <row r="10396">
      <c r="A10396" s="3" t="s">
        <v>8758</v>
      </c>
      <c r="B10396" s="3" t="s">
        <v>8563</v>
      </c>
      <c r="C10396" s="3" t="s">
        <v>9078</v>
      </c>
      <c r="D10396" s="4" t="str">
        <f t="shared" ref="D10396:D10398" si="1414">HYPERLINK("https://12go.asia/en/travel/Oludeniz-Hotel-Transfer/Dalaman-Airport", "12Go Link")</f>
        <v>12Go Link</v>
      </c>
      <c r="E10396" s="3" t="s">
        <v>3196</v>
      </c>
      <c r="K10396" s="5"/>
    </row>
    <row r="10397">
      <c r="A10397" s="3" t="s">
        <v>8758</v>
      </c>
      <c r="B10397" s="3" t="s">
        <v>8563</v>
      </c>
      <c r="C10397" s="3" t="s">
        <v>9078</v>
      </c>
      <c r="D10397" s="4" t="str">
        <f t="shared" si="1414"/>
        <v>12Go Link</v>
      </c>
      <c r="E10397" s="3" t="s">
        <v>226</v>
      </c>
      <c r="K10397" s="5"/>
    </row>
    <row r="10398">
      <c r="A10398" s="3" t="s">
        <v>8758</v>
      </c>
      <c r="B10398" s="3" t="s">
        <v>8563</v>
      </c>
      <c r="C10398" s="3" t="s">
        <v>9078</v>
      </c>
      <c r="D10398" s="4" t="str">
        <f t="shared" si="1414"/>
        <v>12Go Link</v>
      </c>
      <c r="E10398" s="3" t="s">
        <v>3203</v>
      </c>
      <c r="K10398" s="5"/>
    </row>
    <row r="10399">
      <c r="A10399" s="3" t="s">
        <v>8758</v>
      </c>
      <c r="B10399" s="3" t="s">
        <v>8563</v>
      </c>
      <c r="C10399" s="3" t="s">
        <v>9079</v>
      </c>
      <c r="D10399" s="4" t="str">
        <f t="shared" ref="D10399:D10401" si="1415">HYPERLINK("https://12go.asia/en/travel/Ovacik-Hotel-Transfer/Dalaman-Airport", "12Go Link")</f>
        <v>12Go Link</v>
      </c>
      <c r="E10399" s="3" t="s">
        <v>3196</v>
      </c>
      <c r="K10399" s="5"/>
    </row>
    <row r="10400">
      <c r="A10400" s="3" t="s">
        <v>8758</v>
      </c>
      <c r="B10400" s="3" t="s">
        <v>8563</v>
      </c>
      <c r="C10400" s="3" t="s">
        <v>9079</v>
      </c>
      <c r="D10400" s="4" t="str">
        <f t="shared" si="1415"/>
        <v>12Go Link</v>
      </c>
      <c r="E10400" s="3" t="s">
        <v>226</v>
      </c>
      <c r="K10400" s="5"/>
    </row>
    <row r="10401">
      <c r="A10401" s="3" t="s">
        <v>8758</v>
      </c>
      <c r="B10401" s="3" t="s">
        <v>8563</v>
      </c>
      <c r="C10401" s="3" t="s">
        <v>9079</v>
      </c>
      <c r="D10401" s="4" t="str">
        <f t="shared" si="1415"/>
        <v>12Go Link</v>
      </c>
      <c r="E10401" s="3" t="s">
        <v>3203</v>
      </c>
      <c r="K10401" s="5"/>
    </row>
    <row r="10402">
      <c r="A10402" s="3" t="s">
        <v>8762</v>
      </c>
      <c r="B10402" s="3" t="s">
        <v>8563</v>
      </c>
      <c r="C10402" s="3" t="s">
        <v>9080</v>
      </c>
      <c r="D10402" s="4" t="str">
        <f t="shared" ref="D10402:D10404" si="1416">HYPERLINK("https://12go.asia/en/travel/Orhaniye-Hotel-Transfer/Dalaman-Airport", "12Go Link")</f>
        <v>12Go Link</v>
      </c>
      <c r="E10402" s="3" t="s">
        <v>3196</v>
      </c>
      <c r="K10402" s="5"/>
    </row>
    <row r="10403">
      <c r="A10403" s="3" t="s">
        <v>8762</v>
      </c>
      <c r="B10403" s="3" t="s">
        <v>8563</v>
      </c>
      <c r="C10403" s="3" t="s">
        <v>9080</v>
      </c>
      <c r="D10403" s="4" t="str">
        <f t="shared" si="1416"/>
        <v>12Go Link</v>
      </c>
      <c r="E10403" s="3" t="s">
        <v>226</v>
      </c>
      <c r="K10403" s="5"/>
    </row>
    <row r="10404">
      <c r="A10404" s="3" t="s">
        <v>8762</v>
      </c>
      <c r="B10404" s="3" t="s">
        <v>8563</v>
      </c>
      <c r="C10404" s="3" t="s">
        <v>9080</v>
      </c>
      <c r="D10404" s="4" t="str">
        <f t="shared" si="1416"/>
        <v>12Go Link</v>
      </c>
      <c r="E10404" s="3" t="s">
        <v>3203</v>
      </c>
      <c r="K10404" s="5"/>
    </row>
    <row r="10405">
      <c r="A10405" s="3" t="s">
        <v>8762</v>
      </c>
      <c r="B10405" s="3" t="s">
        <v>8563</v>
      </c>
      <c r="C10405" s="3" t="s">
        <v>9081</v>
      </c>
      <c r="D10405" s="4" t="str">
        <f t="shared" ref="D10405:D10407" si="1417">HYPERLINK("https://12go.asia/en/travel/Orhaniye-Marti-Marina/Dalaman-Airport", "12Go Link")</f>
        <v>12Go Link</v>
      </c>
      <c r="E10405" s="3" t="s">
        <v>3196</v>
      </c>
      <c r="K10405" s="5"/>
    </row>
    <row r="10406">
      <c r="A10406" s="3" t="s">
        <v>8762</v>
      </c>
      <c r="B10406" s="3" t="s">
        <v>8563</v>
      </c>
      <c r="C10406" s="3" t="s">
        <v>9081</v>
      </c>
      <c r="D10406" s="4" t="str">
        <f t="shared" si="1417"/>
        <v>12Go Link</v>
      </c>
      <c r="E10406" s="3" t="s">
        <v>226</v>
      </c>
      <c r="K10406" s="5"/>
    </row>
    <row r="10407">
      <c r="A10407" s="3" t="s">
        <v>8762</v>
      </c>
      <c r="B10407" s="3" t="s">
        <v>8563</v>
      </c>
      <c r="C10407" s="3" t="s">
        <v>9081</v>
      </c>
      <c r="D10407" s="4" t="str">
        <f t="shared" si="1417"/>
        <v>12Go Link</v>
      </c>
      <c r="E10407" s="3" t="s">
        <v>3203</v>
      </c>
      <c r="K10407" s="5"/>
    </row>
    <row r="10408">
      <c r="A10408" s="3" t="s">
        <v>8584</v>
      </c>
      <c r="B10408" s="3" t="s">
        <v>8579</v>
      </c>
      <c r="C10408" s="3" t="s">
        <v>9082</v>
      </c>
      <c r="D10408" s="4" t="str">
        <f t="shared" ref="D10408:D10409" si="1418">HYPERLINK("https://12go.asia/en/travel/Ortahisar-Hotel-Transfer/Kayseri-Airport", "12Go Link")</f>
        <v>12Go Link</v>
      </c>
      <c r="E10408" s="3" t="s">
        <v>3196</v>
      </c>
      <c r="K10408" s="5"/>
    </row>
    <row r="10409">
      <c r="A10409" s="3" t="s">
        <v>8584</v>
      </c>
      <c r="B10409" s="3" t="s">
        <v>8579</v>
      </c>
      <c r="C10409" s="3" t="s">
        <v>9082</v>
      </c>
      <c r="D10409" s="4" t="str">
        <f t="shared" si="1418"/>
        <v>12Go Link</v>
      </c>
      <c r="E10409" s="3" t="s">
        <v>3203</v>
      </c>
      <c r="K10409" s="5"/>
    </row>
    <row r="10410">
      <c r="A10410" s="3" t="s">
        <v>8584</v>
      </c>
      <c r="B10410" s="3" t="s">
        <v>8581</v>
      </c>
      <c r="C10410" s="3" t="s">
        <v>9083</v>
      </c>
      <c r="D10410" s="4" t="str">
        <f t="shared" ref="D10410:D10411" si="1419">HYPERLINK("https://12go.asia/en/travel/Ortahisar-Hotel-Transfer/Nevsehir-Kapadokya-Airport", "12Go Link")</f>
        <v>12Go Link</v>
      </c>
      <c r="E10410" s="3" t="s">
        <v>3196</v>
      </c>
      <c r="K10410" s="5"/>
    </row>
    <row r="10411">
      <c r="A10411" s="3" t="s">
        <v>8584</v>
      </c>
      <c r="B10411" s="3" t="s">
        <v>8581</v>
      </c>
      <c r="C10411" s="3" t="s">
        <v>9083</v>
      </c>
      <c r="D10411" s="4" t="str">
        <f t="shared" si="1419"/>
        <v>12Go Link</v>
      </c>
      <c r="E10411" s="3" t="s">
        <v>3203</v>
      </c>
      <c r="K10411" s="5"/>
    </row>
    <row r="10412">
      <c r="A10412" s="3" t="s">
        <v>8978</v>
      </c>
      <c r="B10412" s="3" t="s">
        <v>8594</v>
      </c>
      <c r="C10412" s="3" t="s">
        <v>9084</v>
      </c>
      <c r="D10412" s="4" t="str">
        <f t="shared" ref="D10412:D10414" si="1420">HYPERLINK("https://12go.asia/en/travel/Ozdere-Hotel-Transfer/Adnan-Menderes-Airport", "12Go Link")</f>
        <v>12Go Link</v>
      </c>
      <c r="E10412" s="3" t="s">
        <v>3196</v>
      </c>
      <c r="K10412" s="5"/>
    </row>
    <row r="10413">
      <c r="A10413" s="3" t="s">
        <v>8978</v>
      </c>
      <c r="B10413" s="3" t="s">
        <v>8594</v>
      </c>
      <c r="C10413" s="3" t="s">
        <v>9084</v>
      </c>
      <c r="D10413" s="4" t="str">
        <f t="shared" si="1420"/>
        <v>12Go Link</v>
      </c>
      <c r="E10413" s="3" t="s">
        <v>226</v>
      </c>
      <c r="K10413" s="5"/>
    </row>
    <row r="10414">
      <c r="A10414" s="3" t="s">
        <v>8978</v>
      </c>
      <c r="B10414" s="3" t="s">
        <v>8594</v>
      </c>
      <c r="C10414" s="3" t="s">
        <v>9084</v>
      </c>
      <c r="D10414" s="4" t="str">
        <f t="shared" si="1420"/>
        <v>12Go Link</v>
      </c>
      <c r="E10414" s="3" t="s">
        <v>3203</v>
      </c>
      <c r="K10414" s="5"/>
    </row>
    <row r="10415">
      <c r="A10415" s="3" t="s">
        <v>8816</v>
      </c>
      <c r="B10415" s="3" t="s">
        <v>8566</v>
      </c>
      <c r="C10415" s="3" t="s">
        <v>9085</v>
      </c>
      <c r="D10415" s="4" t="str">
        <f t="shared" ref="D10415:D10416" si="1421">HYPERLINK("https://12go.asia/en/travel/Pamukkale-Hotel-Transfer/Avanos-Hotel-Transfer", "12Go Link")</f>
        <v>12Go Link</v>
      </c>
      <c r="E10415" s="3" t="s">
        <v>8568</v>
      </c>
      <c r="K10415" s="5"/>
    </row>
    <row r="10416">
      <c r="A10416" s="3" t="s">
        <v>8816</v>
      </c>
      <c r="B10416" s="3" t="s">
        <v>8566</v>
      </c>
      <c r="C10416" s="3" t="s">
        <v>9085</v>
      </c>
      <c r="D10416" s="4" t="str">
        <f t="shared" si="1421"/>
        <v>12Go Link</v>
      </c>
      <c r="E10416" s="3" t="s">
        <v>228</v>
      </c>
      <c r="K10416" s="5"/>
    </row>
    <row r="10417">
      <c r="A10417" s="3" t="s">
        <v>8816</v>
      </c>
      <c r="B10417" s="3" t="s">
        <v>8570</v>
      </c>
      <c r="C10417" s="3" t="s">
        <v>9086</v>
      </c>
      <c r="D10417" s="4" t="str">
        <f t="shared" ref="D10417:D10418" si="1422">HYPERLINK("https://12go.asia/en/travel/Pamukkale-Hotel-Transfer/Cappadocia-Hotel-Transfer", "12Go Link")</f>
        <v>12Go Link</v>
      </c>
      <c r="E10417" s="3" t="s">
        <v>8568</v>
      </c>
      <c r="K10417" s="5"/>
    </row>
    <row r="10418">
      <c r="A10418" s="3" t="s">
        <v>8816</v>
      </c>
      <c r="B10418" s="3" t="s">
        <v>8570</v>
      </c>
      <c r="C10418" s="3" t="s">
        <v>9086</v>
      </c>
      <c r="D10418" s="4" t="str">
        <f t="shared" si="1422"/>
        <v>12Go Link</v>
      </c>
      <c r="E10418" s="3" t="s">
        <v>228</v>
      </c>
      <c r="K10418" s="5"/>
    </row>
    <row r="10419">
      <c r="A10419" s="3" t="s">
        <v>8816</v>
      </c>
      <c r="B10419" s="3" t="s">
        <v>8573</v>
      </c>
      <c r="C10419" s="3" t="s">
        <v>9087</v>
      </c>
      <c r="D10419" s="4" t="str">
        <f t="shared" ref="D10419:D10420" si="1423">HYPERLINK("https://12go.asia/en/travel/Pamukkale-Hotel-Transfer/Cavusin-Hotel-Transfer", "12Go Link")</f>
        <v>12Go Link</v>
      </c>
      <c r="E10419" s="3" t="s">
        <v>8568</v>
      </c>
      <c r="K10419" s="5"/>
    </row>
    <row r="10420">
      <c r="A10420" s="3" t="s">
        <v>8816</v>
      </c>
      <c r="B10420" s="3" t="s">
        <v>8573</v>
      </c>
      <c r="C10420" s="3" t="s">
        <v>9087</v>
      </c>
      <c r="D10420" s="4" t="str">
        <f t="shared" si="1423"/>
        <v>12Go Link</v>
      </c>
      <c r="E10420" s="3" t="s">
        <v>228</v>
      </c>
      <c r="K10420" s="5"/>
    </row>
    <row r="10421">
      <c r="A10421" s="3" t="s">
        <v>8816</v>
      </c>
      <c r="B10421" s="3" t="s">
        <v>8576</v>
      </c>
      <c r="C10421" s="3" t="s">
        <v>9088</v>
      </c>
      <c r="D10421" s="4" t="str">
        <f t="shared" ref="D10421:D10423" si="1424">HYPERLINK("https://12go.asia/en/travel/Pamukkale-Hotel-Transfer/Goreme-Hotel-Transfer", "12Go Link")</f>
        <v>12Go Link</v>
      </c>
      <c r="E10421" s="3" t="s">
        <v>8568</v>
      </c>
      <c r="K10421" s="5"/>
    </row>
    <row r="10422">
      <c r="A10422" s="3" t="s">
        <v>8816</v>
      </c>
      <c r="B10422" s="3" t="s">
        <v>8576</v>
      </c>
      <c r="C10422" s="3" t="s">
        <v>9088</v>
      </c>
      <c r="D10422" s="4" t="str">
        <f t="shared" si="1424"/>
        <v>12Go Link</v>
      </c>
      <c r="E10422" s="3" t="s">
        <v>3481</v>
      </c>
      <c r="K10422" s="5"/>
    </row>
    <row r="10423">
      <c r="A10423" s="3" t="s">
        <v>8816</v>
      </c>
      <c r="B10423" s="3" t="s">
        <v>8576</v>
      </c>
      <c r="C10423" s="3" t="s">
        <v>9088</v>
      </c>
      <c r="D10423" s="4" t="str">
        <f t="shared" si="1424"/>
        <v>12Go Link</v>
      </c>
      <c r="E10423" s="3" t="s">
        <v>228</v>
      </c>
      <c r="K10423" s="5"/>
    </row>
    <row r="10424">
      <c r="A10424" s="3" t="s">
        <v>8816</v>
      </c>
      <c r="B10424" s="3" t="s">
        <v>8594</v>
      </c>
      <c r="C10424" s="3" t="s">
        <v>9089</v>
      </c>
      <c r="D10424" s="4" t="str">
        <f t="shared" ref="D10424:D10426" si="1425">HYPERLINK("https://12go.asia/en/travel/Pamukkale-Hotel-Transfer/Adnan-Menderes-Airport", "12Go Link")</f>
        <v>12Go Link</v>
      </c>
      <c r="E10424" s="3" t="s">
        <v>3196</v>
      </c>
      <c r="K10424" s="5"/>
    </row>
    <row r="10425">
      <c r="A10425" s="3" t="s">
        <v>8816</v>
      </c>
      <c r="B10425" s="3" t="s">
        <v>8594</v>
      </c>
      <c r="C10425" s="3" t="s">
        <v>9089</v>
      </c>
      <c r="D10425" s="4" t="str">
        <f t="shared" si="1425"/>
        <v>12Go Link</v>
      </c>
      <c r="E10425" s="3" t="s">
        <v>226</v>
      </c>
      <c r="K10425" s="5"/>
    </row>
    <row r="10426">
      <c r="A10426" s="3" t="s">
        <v>8816</v>
      </c>
      <c r="B10426" s="3" t="s">
        <v>8594</v>
      </c>
      <c r="C10426" s="3" t="s">
        <v>9089</v>
      </c>
      <c r="D10426" s="4" t="str">
        <f t="shared" si="1425"/>
        <v>12Go Link</v>
      </c>
      <c r="E10426" s="3" t="s">
        <v>3203</v>
      </c>
      <c r="K10426" s="5"/>
    </row>
    <row r="10427">
      <c r="A10427" s="3" t="s">
        <v>8816</v>
      </c>
      <c r="B10427" s="3" t="s">
        <v>8581</v>
      </c>
      <c r="C10427" s="3" t="s">
        <v>9090</v>
      </c>
      <c r="D10427" s="4" t="str">
        <f t="shared" ref="D10427:D10428" si="1426">HYPERLINK("https://12go.asia/en/travel/Pamukkale-Hotel-Transfer/Nevsehir-Hotel-Transfer", "12Go Link")</f>
        <v>12Go Link</v>
      </c>
      <c r="E10427" s="3" t="s">
        <v>8568</v>
      </c>
      <c r="K10427" s="5"/>
    </row>
    <row r="10428">
      <c r="A10428" s="3" t="s">
        <v>8816</v>
      </c>
      <c r="B10428" s="3" t="s">
        <v>8581</v>
      </c>
      <c r="C10428" s="3" t="s">
        <v>9090</v>
      </c>
      <c r="D10428" s="4" t="str">
        <f t="shared" si="1426"/>
        <v>12Go Link</v>
      </c>
      <c r="E10428" s="3" t="s">
        <v>228</v>
      </c>
      <c r="K10428" s="5"/>
    </row>
    <row r="10429">
      <c r="A10429" s="3" t="s">
        <v>8816</v>
      </c>
      <c r="B10429" s="3" t="s">
        <v>8584</v>
      </c>
      <c r="C10429" s="3" t="s">
        <v>9091</v>
      </c>
      <c r="D10429" s="4" t="str">
        <f t="shared" ref="D10429:D10430" si="1427">HYPERLINK("https://12go.asia/en/travel/Pamukkale-Hotel-Transfer/Ortahisar-Hotel-Transfer", "12Go Link")</f>
        <v>12Go Link</v>
      </c>
      <c r="E10429" s="3" t="s">
        <v>8568</v>
      </c>
      <c r="K10429" s="5"/>
    </row>
    <row r="10430">
      <c r="A10430" s="3" t="s">
        <v>8816</v>
      </c>
      <c r="B10430" s="3" t="s">
        <v>8584</v>
      </c>
      <c r="C10430" s="3" t="s">
        <v>9091</v>
      </c>
      <c r="D10430" s="4" t="str">
        <f t="shared" si="1427"/>
        <v>12Go Link</v>
      </c>
      <c r="E10430" s="3" t="s">
        <v>228</v>
      </c>
      <c r="K10430" s="5"/>
    </row>
    <row r="10431">
      <c r="A10431" s="3" t="s">
        <v>8816</v>
      </c>
      <c r="B10431" s="3" t="s">
        <v>8587</v>
      </c>
      <c r="C10431" s="3" t="s">
        <v>9092</v>
      </c>
      <c r="D10431" s="4" t="str">
        <f t="shared" ref="D10431:D10432" si="1428">HYPERLINK("https://12go.asia/en/travel/Pamukkale-Hotel-Transfer/Uchisar-Hotel-Transfer", "12Go Link")</f>
        <v>12Go Link</v>
      </c>
      <c r="E10431" s="3" t="s">
        <v>8568</v>
      </c>
      <c r="K10431" s="5"/>
    </row>
    <row r="10432">
      <c r="A10432" s="3" t="s">
        <v>8816</v>
      </c>
      <c r="B10432" s="3" t="s">
        <v>8587</v>
      </c>
      <c r="C10432" s="3" t="s">
        <v>9092</v>
      </c>
      <c r="D10432" s="4" t="str">
        <f t="shared" si="1428"/>
        <v>12Go Link</v>
      </c>
      <c r="E10432" s="3" t="s">
        <v>228</v>
      </c>
      <c r="K10432" s="5"/>
    </row>
    <row r="10433">
      <c r="A10433" s="3" t="s">
        <v>8816</v>
      </c>
      <c r="B10433" s="3" t="s">
        <v>8590</v>
      </c>
      <c r="C10433" s="3" t="s">
        <v>9093</v>
      </c>
      <c r="D10433" s="4" t="str">
        <f t="shared" ref="D10433:D10434" si="1429">HYPERLINK("https://12go.asia/en/travel/Pamukkale-Hotel-Transfer/Urgup-Hotel-Transfer", "12Go Link")</f>
        <v>12Go Link</v>
      </c>
      <c r="E10433" s="3" t="s">
        <v>8568</v>
      </c>
      <c r="K10433" s="5"/>
    </row>
    <row r="10434">
      <c r="A10434" s="3" t="s">
        <v>8816</v>
      </c>
      <c r="B10434" s="3" t="s">
        <v>8590</v>
      </c>
      <c r="C10434" s="3" t="s">
        <v>9093</v>
      </c>
      <c r="D10434" s="4" t="str">
        <f t="shared" si="1429"/>
        <v>12Go Link</v>
      </c>
      <c r="E10434" s="3" t="s">
        <v>228</v>
      </c>
      <c r="K10434" s="5"/>
    </row>
    <row r="10435">
      <c r="A10435" s="3" t="s">
        <v>8665</v>
      </c>
      <c r="B10435" s="3" t="s">
        <v>8601</v>
      </c>
      <c r="C10435" s="3" t="s">
        <v>9094</v>
      </c>
      <c r="D10435" s="4" t="str">
        <f t="shared" ref="D10435:D10437" si="1430">HYPERLINK("https://12go.asia/en/travel/Payallar-Hotel-Transfer/Antalya-Airport", "12Go Link")</f>
        <v>12Go Link</v>
      </c>
      <c r="E10435" s="3" t="s">
        <v>3196</v>
      </c>
      <c r="K10435" s="5"/>
    </row>
    <row r="10436">
      <c r="A10436" s="3" t="s">
        <v>8665</v>
      </c>
      <c r="B10436" s="3" t="s">
        <v>8601</v>
      </c>
      <c r="C10436" s="3" t="s">
        <v>9094</v>
      </c>
      <c r="D10436" s="4" t="str">
        <f t="shared" si="1430"/>
        <v>12Go Link</v>
      </c>
      <c r="E10436" s="3" t="s">
        <v>226</v>
      </c>
      <c r="K10436" s="5"/>
    </row>
    <row r="10437">
      <c r="A10437" s="3" t="s">
        <v>8665</v>
      </c>
      <c r="B10437" s="3" t="s">
        <v>8601</v>
      </c>
      <c r="C10437" s="3" t="s">
        <v>9094</v>
      </c>
      <c r="D10437" s="4" t="str">
        <f t="shared" si="1430"/>
        <v>12Go Link</v>
      </c>
      <c r="E10437" s="3" t="s">
        <v>3203</v>
      </c>
      <c r="K10437" s="5"/>
    </row>
    <row r="10438">
      <c r="A10438" s="3" t="s">
        <v>8981</v>
      </c>
      <c r="B10438" s="3" t="s">
        <v>8594</v>
      </c>
      <c r="C10438" s="3" t="s">
        <v>9095</v>
      </c>
      <c r="D10438" s="4" t="str">
        <f t="shared" ref="D10438:D10440" si="1431">HYPERLINK("https://12go.asia/en/travel/Salihli-Hotel-Transfer/Adnan-Menderes-Airport", "12Go Link")</f>
        <v>12Go Link</v>
      </c>
      <c r="E10438" s="3" t="s">
        <v>3196</v>
      </c>
      <c r="K10438" s="5"/>
    </row>
    <row r="10439">
      <c r="A10439" s="3" t="s">
        <v>8981</v>
      </c>
      <c r="B10439" s="3" t="s">
        <v>8594</v>
      </c>
      <c r="C10439" s="3" t="s">
        <v>9095</v>
      </c>
      <c r="D10439" s="4" t="str">
        <f t="shared" si="1431"/>
        <v>12Go Link</v>
      </c>
      <c r="E10439" s="3" t="s">
        <v>226</v>
      </c>
      <c r="K10439" s="5"/>
    </row>
    <row r="10440">
      <c r="A10440" s="3" t="s">
        <v>8981</v>
      </c>
      <c r="B10440" s="3" t="s">
        <v>8594</v>
      </c>
      <c r="C10440" s="3" t="s">
        <v>9095</v>
      </c>
      <c r="D10440" s="4" t="str">
        <f t="shared" si="1431"/>
        <v>12Go Link</v>
      </c>
      <c r="E10440" s="3" t="s">
        <v>3203</v>
      </c>
      <c r="K10440" s="5"/>
    </row>
    <row r="10441">
      <c r="A10441" s="3" t="s">
        <v>8765</v>
      </c>
      <c r="B10441" s="3" t="s">
        <v>8563</v>
      </c>
      <c r="C10441" s="3" t="s">
        <v>9096</v>
      </c>
      <c r="D10441" s="4" t="str">
        <f t="shared" ref="D10441:D10443" si="1432">HYPERLINK("https://12go.asia/en/travel/Sarigerme-Hotel-Transfer/Dalaman-Airport", "12Go Link")</f>
        <v>12Go Link</v>
      </c>
      <c r="E10441" s="3" t="s">
        <v>3196</v>
      </c>
      <c r="K10441" s="5"/>
    </row>
    <row r="10442">
      <c r="A10442" s="3" t="s">
        <v>8765</v>
      </c>
      <c r="B10442" s="3" t="s">
        <v>8563</v>
      </c>
      <c r="C10442" s="3" t="s">
        <v>9096</v>
      </c>
      <c r="D10442" s="4" t="str">
        <f t="shared" si="1432"/>
        <v>12Go Link</v>
      </c>
      <c r="E10442" s="3" t="s">
        <v>226</v>
      </c>
      <c r="K10442" s="5"/>
    </row>
    <row r="10443">
      <c r="A10443" s="3" t="s">
        <v>8765</v>
      </c>
      <c r="B10443" s="3" t="s">
        <v>8563</v>
      </c>
      <c r="C10443" s="3" t="s">
        <v>9096</v>
      </c>
      <c r="D10443" s="4" t="str">
        <f t="shared" si="1432"/>
        <v>12Go Link</v>
      </c>
      <c r="E10443" s="3" t="s">
        <v>3203</v>
      </c>
      <c r="K10443" s="5"/>
    </row>
    <row r="10444">
      <c r="A10444" s="3" t="s">
        <v>8983</v>
      </c>
      <c r="B10444" s="3" t="s">
        <v>8594</v>
      </c>
      <c r="C10444" s="3" t="s">
        <v>9097</v>
      </c>
      <c r="D10444" s="4" t="str">
        <f t="shared" ref="D10444:D10446" si="1433">HYPERLINK("https://12go.asia/en/travel/Seferihisar-Hotel-Transfer/Adnan-Menderes-Airport", "12Go Link")</f>
        <v>12Go Link</v>
      </c>
      <c r="E10444" s="3" t="s">
        <v>3196</v>
      </c>
      <c r="K10444" s="5"/>
    </row>
    <row r="10445">
      <c r="A10445" s="3" t="s">
        <v>8983</v>
      </c>
      <c r="B10445" s="3" t="s">
        <v>8594</v>
      </c>
      <c r="C10445" s="3" t="s">
        <v>9097</v>
      </c>
      <c r="D10445" s="4" t="str">
        <f t="shared" si="1433"/>
        <v>12Go Link</v>
      </c>
      <c r="E10445" s="3" t="s">
        <v>226</v>
      </c>
      <c r="K10445" s="5"/>
    </row>
    <row r="10446">
      <c r="A10446" s="3" t="s">
        <v>8983</v>
      </c>
      <c r="B10446" s="3" t="s">
        <v>8594</v>
      </c>
      <c r="C10446" s="3" t="s">
        <v>9097</v>
      </c>
      <c r="D10446" s="4" t="str">
        <f t="shared" si="1433"/>
        <v>12Go Link</v>
      </c>
      <c r="E10446" s="3" t="s">
        <v>3203</v>
      </c>
      <c r="K10446" s="5"/>
    </row>
    <row r="10447">
      <c r="A10447" s="3" t="s">
        <v>8985</v>
      </c>
      <c r="B10447" s="3" t="s">
        <v>8594</v>
      </c>
      <c r="C10447" s="3" t="s">
        <v>9098</v>
      </c>
      <c r="D10447" s="4" t="str">
        <f t="shared" ref="D10447:D10449" si="1434">HYPERLINK("https://12go.asia/en/travel/Pamucak-Beach/Adnan-Menderes-Airport", "12Go Link")</f>
        <v>12Go Link</v>
      </c>
      <c r="E10447" s="3" t="s">
        <v>3196</v>
      </c>
      <c r="K10447" s="5"/>
    </row>
    <row r="10448">
      <c r="A10448" s="3" t="s">
        <v>8985</v>
      </c>
      <c r="B10448" s="3" t="s">
        <v>8594</v>
      </c>
      <c r="C10448" s="3" t="s">
        <v>9098</v>
      </c>
      <c r="D10448" s="4" t="str">
        <f t="shared" si="1434"/>
        <v>12Go Link</v>
      </c>
      <c r="E10448" s="3" t="s">
        <v>226</v>
      </c>
      <c r="K10448" s="5"/>
    </row>
    <row r="10449">
      <c r="A10449" s="3" t="s">
        <v>8985</v>
      </c>
      <c r="B10449" s="3" t="s">
        <v>8594</v>
      </c>
      <c r="C10449" s="3" t="s">
        <v>9098</v>
      </c>
      <c r="D10449" s="4" t="str">
        <f t="shared" si="1434"/>
        <v>12Go Link</v>
      </c>
      <c r="E10449" s="3" t="s">
        <v>3203</v>
      </c>
      <c r="K10449" s="5"/>
    </row>
    <row r="10450">
      <c r="A10450" s="3" t="s">
        <v>8985</v>
      </c>
      <c r="B10450" s="3" t="s">
        <v>8594</v>
      </c>
      <c r="C10450" s="3" t="s">
        <v>9099</v>
      </c>
      <c r="D10450" s="4" t="str">
        <f t="shared" ref="D10450:D10452" si="1435">HYPERLINK("https://12go.asia/en/travel/Selcuk-Hotel-Transfer/Adnan-Menderes-Airport", "12Go Link")</f>
        <v>12Go Link</v>
      </c>
      <c r="E10450" s="3" t="s">
        <v>3196</v>
      </c>
      <c r="K10450" s="5"/>
    </row>
    <row r="10451">
      <c r="A10451" s="3" t="s">
        <v>8985</v>
      </c>
      <c r="B10451" s="3" t="s">
        <v>8594</v>
      </c>
      <c r="C10451" s="3" t="s">
        <v>9099</v>
      </c>
      <c r="D10451" s="4" t="str">
        <f t="shared" si="1435"/>
        <v>12Go Link</v>
      </c>
      <c r="E10451" s="3" t="s">
        <v>226</v>
      </c>
      <c r="K10451" s="5"/>
    </row>
    <row r="10452">
      <c r="A10452" s="3" t="s">
        <v>8985</v>
      </c>
      <c r="B10452" s="3" t="s">
        <v>8594</v>
      </c>
      <c r="C10452" s="3" t="s">
        <v>9099</v>
      </c>
      <c r="D10452" s="4" t="str">
        <f t="shared" si="1435"/>
        <v>12Go Link</v>
      </c>
      <c r="E10452" s="3" t="s">
        <v>3203</v>
      </c>
      <c r="K10452" s="5"/>
    </row>
    <row r="10453">
      <c r="A10453" s="3" t="s">
        <v>8767</v>
      </c>
      <c r="B10453" s="3" t="s">
        <v>8563</v>
      </c>
      <c r="C10453" s="3" t="s">
        <v>9100</v>
      </c>
      <c r="D10453" s="4" t="str">
        <f t="shared" ref="D10453:D10455" si="1436">HYPERLINK("https://12go.asia/en/travel/Selimiye-Hotel-Transfer/Dalaman-Airport", "12Go Link")</f>
        <v>12Go Link</v>
      </c>
      <c r="E10453" s="3" t="s">
        <v>3196</v>
      </c>
      <c r="K10453" s="5"/>
    </row>
    <row r="10454">
      <c r="A10454" s="3" t="s">
        <v>8767</v>
      </c>
      <c r="B10454" s="3" t="s">
        <v>8563</v>
      </c>
      <c r="C10454" s="3" t="s">
        <v>9100</v>
      </c>
      <c r="D10454" s="4" t="str">
        <f t="shared" si="1436"/>
        <v>12Go Link</v>
      </c>
      <c r="E10454" s="3" t="s">
        <v>226</v>
      </c>
      <c r="K10454" s="5"/>
    </row>
    <row r="10455">
      <c r="A10455" s="3" t="s">
        <v>8767</v>
      </c>
      <c r="B10455" s="3" t="s">
        <v>8563</v>
      </c>
      <c r="C10455" s="3" t="s">
        <v>9100</v>
      </c>
      <c r="D10455" s="4" t="str">
        <f t="shared" si="1436"/>
        <v>12Go Link</v>
      </c>
      <c r="E10455" s="3" t="s">
        <v>3203</v>
      </c>
      <c r="K10455" s="5"/>
    </row>
    <row r="10456">
      <c r="A10456" s="3" t="s">
        <v>8667</v>
      </c>
      <c r="B10456" s="3" t="s">
        <v>8601</v>
      </c>
      <c r="C10456" s="3" t="s">
        <v>9101</v>
      </c>
      <c r="D10456" s="4" t="str">
        <f t="shared" ref="D10456:D10458" si="1437">HYPERLINK("https://12go.asia/en/travel/Serik-Hotel-Transfer/Antalya-Airport", "12Go Link")</f>
        <v>12Go Link</v>
      </c>
      <c r="E10456" s="3" t="s">
        <v>3196</v>
      </c>
      <c r="K10456" s="5"/>
    </row>
    <row r="10457">
      <c r="A10457" s="3" t="s">
        <v>8667</v>
      </c>
      <c r="B10457" s="3" t="s">
        <v>8601</v>
      </c>
      <c r="C10457" s="3" t="s">
        <v>9101</v>
      </c>
      <c r="D10457" s="4" t="str">
        <f t="shared" si="1437"/>
        <v>12Go Link</v>
      </c>
      <c r="E10457" s="3" t="s">
        <v>226</v>
      </c>
      <c r="K10457" s="5"/>
    </row>
    <row r="10458">
      <c r="A10458" s="3" t="s">
        <v>8667</v>
      </c>
      <c r="B10458" s="3" t="s">
        <v>8601</v>
      </c>
      <c r="C10458" s="3" t="s">
        <v>9101</v>
      </c>
      <c r="D10458" s="4" t="str">
        <f t="shared" si="1437"/>
        <v>12Go Link</v>
      </c>
      <c r="E10458" s="3" t="s">
        <v>3203</v>
      </c>
      <c r="K10458" s="5"/>
    </row>
    <row r="10459">
      <c r="A10459" s="3" t="s">
        <v>8669</v>
      </c>
      <c r="B10459" s="3" t="s">
        <v>8601</v>
      </c>
      <c r="C10459" s="3" t="s">
        <v>9102</v>
      </c>
      <c r="D10459" s="4" t="str">
        <f t="shared" ref="D10459:D10461" si="1438">HYPERLINK("https://12go.asia/en/travel/Side-Hotel-Transfer/Antalya-Airport", "12Go Link")</f>
        <v>12Go Link</v>
      </c>
      <c r="E10459" s="3" t="s">
        <v>3196</v>
      </c>
      <c r="K10459" s="5"/>
    </row>
    <row r="10460">
      <c r="A10460" s="3" t="s">
        <v>8669</v>
      </c>
      <c r="B10460" s="3" t="s">
        <v>8601</v>
      </c>
      <c r="C10460" s="3" t="s">
        <v>9102</v>
      </c>
      <c r="D10460" s="4" t="str">
        <f t="shared" si="1438"/>
        <v>12Go Link</v>
      </c>
      <c r="E10460" s="3" t="s">
        <v>226</v>
      </c>
      <c r="K10460" s="5"/>
    </row>
    <row r="10461">
      <c r="A10461" s="3" t="s">
        <v>8669</v>
      </c>
      <c r="B10461" s="3" t="s">
        <v>8601</v>
      </c>
      <c r="C10461" s="3" t="s">
        <v>9102</v>
      </c>
      <c r="D10461" s="4" t="str">
        <f t="shared" si="1438"/>
        <v>12Go Link</v>
      </c>
      <c r="E10461" s="3" t="s">
        <v>3203</v>
      </c>
      <c r="K10461" s="5"/>
    </row>
    <row r="10462">
      <c r="A10462" s="3" t="s">
        <v>8988</v>
      </c>
      <c r="B10462" s="3" t="s">
        <v>8594</v>
      </c>
      <c r="C10462" s="3" t="s">
        <v>9103</v>
      </c>
      <c r="D10462" s="4" t="str">
        <f t="shared" ref="D10462:D10464" si="1439">HYPERLINK("https://12go.asia/en/travel/Sigacik-Hotel-Transfer/Adnan-Menderes-Airport", "12Go Link")</f>
        <v>12Go Link</v>
      </c>
      <c r="E10462" s="3" t="s">
        <v>3196</v>
      </c>
      <c r="K10462" s="5"/>
    </row>
    <row r="10463">
      <c r="A10463" s="3" t="s">
        <v>8988</v>
      </c>
      <c r="B10463" s="3" t="s">
        <v>8594</v>
      </c>
      <c r="C10463" s="3" t="s">
        <v>9103</v>
      </c>
      <c r="D10463" s="4" t="str">
        <f t="shared" si="1439"/>
        <v>12Go Link</v>
      </c>
      <c r="E10463" s="3" t="s">
        <v>226</v>
      </c>
      <c r="K10463" s="5"/>
    </row>
    <row r="10464">
      <c r="A10464" s="3" t="s">
        <v>8988</v>
      </c>
      <c r="B10464" s="3" t="s">
        <v>8594</v>
      </c>
      <c r="C10464" s="3" t="s">
        <v>9103</v>
      </c>
      <c r="D10464" s="4" t="str">
        <f t="shared" si="1439"/>
        <v>12Go Link</v>
      </c>
      <c r="E10464" s="3" t="s">
        <v>3203</v>
      </c>
      <c r="K10464" s="5"/>
    </row>
    <row r="10465">
      <c r="A10465" s="3" t="s">
        <v>8990</v>
      </c>
      <c r="B10465" s="3" t="s">
        <v>8594</v>
      </c>
      <c r="C10465" s="3" t="s">
        <v>9104</v>
      </c>
      <c r="D10465" s="4" t="str">
        <f t="shared" ref="D10465:D10467" si="1440">HYPERLINK("https://12go.asia/en/travel/Sogucak-Hotel-Transfer/Adnan-Menderes-Airport", "12Go Link")</f>
        <v>12Go Link</v>
      </c>
      <c r="E10465" s="3" t="s">
        <v>3196</v>
      </c>
      <c r="K10465" s="5"/>
    </row>
    <row r="10466">
      <c r="A10466" s="3" t="s">
        <v>8990</v>
      </c>
      <c r="B10466" s="3" t="s">
        <v>8594</v>
      </c>
      <c r="C10466" s="3" t="s">
        <v>9104</v>
      </c>
      <c r="D10466" s="4" t="str">
        <f t="shared" si="1440"/>
        <v>12Go Link</v>
      </c>
      <c r="E10466" s="3" t="s">
        <v>226</v>
      </c>
      <c r="K10466" s="5"/>
    </row>
    <row r="10467">
      <c r="A10467" s="3" t="s">
        <v>8990</v>
      </c>
      <c r="B10467" s="3" t="s">
        <v>8594</v>
      </c>
      <c r="C10467" s="3" t="s">
        <v>9104</v>
      </c>
      <c r="D10467" s="4" t="str">
        <f t="shared" si="1440"/>
        <v>12Go Link</v>
      </c>
      <c r="E10467" s="3" t="s">
        <v>3203</v>
      </c>
      <c r="K10467" s="5"/>
    </row>
    <row r="10468">
      <c r="A10468" s="3" t="s">
        <v>8769</v>
      </c>
      <c r="B10468" s="3" t="s">
        <v>8563</v>
      </c>
      <c r="C10468" s="3" t="s">
        <v>9105</v>
      </c>
      <c r="D10468" s="4" t="str">
        <f t="shared" ref="D10468:D10470" si="1441">HYPERLINK("https://12go.asia/en/travel/Sogutkoy-Hotel-Transfer/Dalaman-Airport", "12Go Link")</f>
        <v>12Go Link</v>
      </c>
      <c r="E10468" s="3" t="s">
        <v>3196</v>
      </c>
      <c r="K10468" s="5"/>
    </row>
    <row r="10469">
      <c r="A10469" s="3" t="s">
        <v>8769</v>
      </c>
      <c r="B10469" s="3" t="s">
        <v>8563</v>
      </c>
      <c r="C10469" s="3" t="s">
        <v>9105</v>
      </c>
      <c r="D10469" s="4" t="str">
        <f t="shared" si="1441"/>
        <v>12Go Link</v>
      </c>
      <c r="E10469" s="3" t="s">
        <v>226</v>
      </c>
      <c r="K10469" s="5"/>
    </row>
    <row r="10470">
      <c r="A10470" s="3" t="s">
        <v>8769</v>
      </c>
      <c r="B10470" s="3" t="s">
        <v>8563</v>
      </c>
      <c r="C10470" s="3" t="s">
        <v>9105</v>
      </c>
      <c r="D10470" s="4" t="str">
        <f t="shared" si="1441"/>
        <v>12Go Link</v>
      </c>
      <c r="E10470" s="3" t="s">
        <v>3203</v>
      </c>
      <c r="K10470" s="5"/>
    </row>
    <row r="10471">
      <c r="A10471" s="3" t="s">
        <v>8992</v>
      </c>
      <c r="B10471" s="3" t="s">
        <v>8594</v>
      </c>
      <c r="C10471" s="3" t="s">
        <v>9106</v>
      </c>
      <c r="D10471" s="4" t="str">
        <f t="shared" ref="D10471:D10473" si="1442">HYPERLINK("https://12go.asia/en/travel/Soke-Hotel-Transfer/Adnan-Menderes-Airport", "12Go Link")</f>
        <v>12Go Link</v>
      </c>
      <c r="E10471" s="3" t="s">
        <v>3196</v>
      </c>
      <c r="K10471" s="5"/>
    </row>
    <row r="10472">
      <c r="A10472" s="3" t="s">
        <v>8992</v>
      </c>
      <c r="B10472" s="3" t="s">
        <v>8594</v>
      </c>
      <c r="C10472" s="3" t="s">
        <v>9106</v>
      </c>
      <c r="D10472" s="4" t="str">
        <f t="shared" si="1442"/>
        <v>12Go Link</v>
      </c>
      <c r="E10472" s="3" t="s">
        <v>226</v>
      </c>
      <c r="K10472" s="5"/>
    </row>
    <row r="10473">
      <c r="A10473" s="3" t="s">
        <v>8992</v>
      </c>
      <c r="B10473" s="3" t="s">
        <v>8594</v>
      </c>
      <c r="C10473" s="3" t="s">
        <v>9106</v>
      </c>
      <c r="D10473" s="4" t="str">
        <f t="shared" si="1442"/>
        <v>12Go Link</v>
      </c>
      <c r="E10473" s="3" t="s">
        <v>3203</v>
      </c>
      <c r="K10473" s="5"/>
    </row>
    <row r="10474">
      <c r="A10474" s="3" t="s">
        <v>8994</v>
      </c>
      <c r="B10474" s="3" t="s">
        <v>8594</v>
      </c>
      <c r="C10474" s="3" t="s">
        <v>9107</v>
      </c>
      <c r="D10474" s="4" t="str">
        <f t="shared" ref="D10474:D10476" si="1443">HYPERLINK("https://12go.asia/en/travel/Torba-Hotel-Transfer/Adnan-Menderes-Airport", "12Go Link")</f>
        <v>12Go Link</v>
      </c>
      <c r="E10474" s="3" t="s">
        <v>3196</v>
      </c>
      <c r="K10474" s="5"/>
    </row>
    <row r="10475">
      <c r="A10475" s="3" t="s">
        <v>8994</v>
      </c>
      <c r="B10475" s="3" t="s">
        <v>8594</v>
      </c>
      <c r="C10475" s="3" t="s">
        <v>9107</v>
      </c>
      <c r="D10475" s="4" t="str">
        <f t="shared" si="1443"/>
        <v>12Go Link</v>
      </c>
      <c r="E10475" s="3" t="s">
        <v>226</v>
      </c>
      <c r="K10475" s="5"/>
    </row>
    <row r="10476">
      <c r="A10476" s="3" t="s">
        <v>8994</v>
      </c>
      <c r="B10476" s="3" t="s">
        <v>8594</v>
      </c>
      <c r="C10476" s="3" t="s">
        <v>9107</v>
      </c>
      <c r="D10476" s="4" t="str">
        <f t="shared" si="1443"/>
        <v>12Go Link</v>
      </c>
      <c r="E10476" s="3" t="s">
        <v>3203</v>
      </c>
      <c r="K10476" s="5"/>
    </row>
    <row r="10477">
      <c r="A10477" s="3" t="s">
        <v>8996</v>
      </c>
      <c r="B10477" s="3" t="s">
        <v>8594</v>
      </c>
      <c r="C10477" s="3" t="s">
        <v>9108</v>
      </c>
      <c r="D10477" s="4" t="str">
        <f t="shared" ref="D10477:D10479" si="1444">HYPERLINK("https://12go.asia/en/travel/Torbali-Hotel-Transfer/Adnan-Menderes-Airport", "12Go Link")</f>
        <v>12Go Link</v>
      </c>
      <c r="E10477" s="3" t="s">
        <v>3196</v>
      </c>
      <c r="K10477" s="5"/>
    </row>
    <row r="10478">
      <c r="A10478" s="3" t="s">
        <v>8996</v>
      </c>
      <c r="B10478" s="3" t="s">
        <v>8594</v>
      </c>
      <c r="C10478" s="3" t="s">
        <v>9108</v>
      </c>
      <c r="D10478" s="4" t="str">
        <f t="shared" si="1444"/>
        <v>12Go Link</v>
      </c>
      <c r="E10478" s="3" t="s">
        <v>226</v>
      </c>
      <c r="K10478" s="5"/>
    </row>
    <row r="10479">
      <c r="A10479" s="3" t="s">
        <v>8996</v>
      </c>
      <c r="B10479" s="3" t="s">
        <v>8594</v>
      </c>
      <c r="C10479" s="3" t="s">
        <v>9108</v>
      </c>
      <c r="D10479" s="4" t="str">
        <f t="shared" si="1444"/>
        <v>12Go Link</v>
      </c>
      <c r="E10479" s="3" t="s">
        <v>3203</v>
      </c>
      <c r="K10479" s="5"/>
    </row>
    <row r="10480">
      <c r="A10480" s="3" t="s">
        <v>9109</v>
      </c>
      <c r="B10480" s="3" t="s">
        <v>9109</v>
      </c>
      <c r="C10480" s="3" t="s">
        <v>9110</v>
      </c>
      <c r="D10480" s="4" t="str">
        <f t="shared" ref="D10480:D10482" si="1445">HYPERLINK("https://12go.asia/en/travel/Trabzon-Airport/Trabzon-Hotel-Transfer", "12Go Link")</f>
        <v>12Go Link</v>
      </c>
      <c r="E10480" s="3" t="s">
        <v>3196</v>
      </c>
      <c r="K10480" s="5"/>
    </row>
    <row r="10481">
      <c r="A10481" s="3" t="s">
        <v>9109</v>
      </c>
      <c r="B10481" s="3" t="s">
        <v>9109</v>
      </c>
      <c r="C10481" s="3" t="s">
        <v>9110</v>
      </c>
      <c r="D10481" s="4" t="str">
        <f t="shared" si="1445"/>
        <v>12Go Link</v>
      </c>
      <c r="E10481" s="3" t="s">
        <v>226</v>
      </c>
      <c r="K10481" s="5"/>
    </row>
    <row r="10482">
      <c r="A10482" s="3" t="s">
        <v>9109</v>
      </c>
      <c r="B10482" s="3" t="s">
        <v>9109</v>
      </c>
      <c r="C10482" s="3" t="s">
        <v>9110</v>
      </c>
      <c r="D10482" s="4" t="str">
        <f t="shared" si="1445"/>
        <v>12Go Link</v>
      </c>
      <c r="E10482" s="3" t="s">
        <v>3203</v>
      </c>
      <c r="K10482" s="5"/>
    </row>
    <row r="10483">
      <c r="A10483" s="3" t="s">
        <v>9109</v>
      </c>
      <c r="B10483" s="3" t="s">
        <v>9109</v>
      </c>
      <c r="C10483" s="3" t="s">
        <v>9111</v>
      </c>
      <c r="D10483" s="4" t="str">
        <f t="shared" ref="D10483:D10485" si="1446">HYPERLINK("https://12go.asia/en/travel/Trabzon-Hotel-Transfer/Trabzon-Airport", "12Go Link")</f>
        <v>12Go Link</v>
      </c>
      <c r="E10483" s="3" t="s">
        <v>3196</v>
      </c>
      <c r="K10483" s="5"/>
    </row>
    <row r="10484">
      <c r="A10484" s="3" t="s">
        <v>9109</v>
      </c>
      <c r="B10484" s="3" t="s">
        <v>9109</v>
      </c>
      <c r="C10484" s="3" t="s">
        <v>9111</v>
      </c>
      <c r="D10484" s="4" t="str">
        <f t="shared" si="1446"/>
        <v>12Go Link</v>
      </c>
      <c r="E10484" s="3" t="s">
        <v>226</v>
      </c>
      <c r="K10484" s="5"/>
    </row>
    <row r="10485">
      <c r="A10485" s="3" t="s">
        <v>9109</v>
      </c>
      <c r="B10485" s="3" t="s">
        <v>9109</v>
      </c>
      <c r="C10485" s="3" t="s">
        <v>9111</v>
      </c>
      <c r="D10485" s="4" t="str">
        <f t="shared" si="1446"/>
        <v>12Go Link</v>
      </c>
      <c r="E10485" s="3" t="s">
        <v>3203</v>
      </c>
      <c r="K10485" s="5"/>
    </row>
    <row r="10486">
      <c r="A10486" s="3" t="s">
        <v>8998</v>
      </c>
      <c r="B10486" s="3" t="s">
        <v>8594</v>
      </c>
      <c r="C10486" s="3" t="s">
        <v>9112</v>
      </c>
      <c r="D10486" s="4" t="str">
        <f t="shared" ref="D10486:D10488" si="1447">HYPERLINK("https://12go.asia/en/travel/Turgutreis-Hotel-Transfer/Adnan-Menderes-Airport", "12Go Link")</f>
        <v>12Go Link</v>
      </c>
      <c r="E10486" s="3" t="s">
        <v>3196</v>
      </c>
      <c r="K10486" s="5"/>
    </row>
    <row r="10487">
      <c r="A10487" s="3" t="s">
        <v>8998</v>
      </c>
      <c r="B10487" s="3" t="s">
        <v>8594</v>
      </c>
      <c r="C10487" s="3" t="s">
        <v>9112</v>
      </c>
      <c r="D10487" s="4" t="str">
        <f t="shared" si="1447"/>
        <v>12Go Link</v>
      </c>
      <c r="E10487" s="3" t="s">
        <v>226</v>
      </c>
      <c r="K10487" s="5"/>
    </row>
    <row r="10488">
      <c r="A10488" s="3" t="s">
        <v>8998</v>
      </c>
      <c r="B10488" s="3" t="s">
        <v>8594</v>
      </c>
      <c r="C10488" s="3" t="s">
        <v>9112</v>
      </c>
      <c r="D10488" s="4" t="str">
        <f t="shared" si="1447"/>
        <v>12Go Link</v>
      </c>
      <c r="E10488" s="3" t="s">
        <v>3203</v>
      </c>
      <c r="K10488" s="5"/>
    </row>
    <row r="10489">
      <c r="A10489" s="3" t="s">
        <v>8771</v>
      </c>
      <c r="B10489" s="3" t="s">
        <v>8563</v>
      </c>
      <c r="C10489" s="3" t="s">
        <v>9113</v>
      </c>
      <c r="D10489" s="4" t="str">
        <f t="shared" ref="D10489:D10491" si="1448">HYPERLINK("https://12go.asia/en/travel/Turunc-Hotel-Transfer/Dalaman-Airport", "12Go Link")</f>
        <v>12Go Link</v>
      </c>
      <c r="E10489" s="3" t="s">
        <v>3196</v>
      </c>
      <c r="K10489" s="5"/>
    </row>
    <row r="10490">
      <c r="A10490" s="3" t="s">
        <v>8771</v>
      </c>
      <c r="B10490" s="3" t="s">
        <v>8563</v>
      </c>
      <c r="C10490" s="3" t="s">
        <v>9113</v>
      </c>
      <c r="D10490" s="4" t="str">
        <f t="shared" si="1448"/>
        <v>12Go Link</v>
      </c>
      <c r="E10490" s="3" t="s">
        <v>226</v>
      </c>
      <c r="K10490" s="5"/>
    </row>
    <row r="10491">
      <c r="A10491" s="3" t="s">
        <v>8771</v>
      </c>
      <c r="B10491" s="3" t="s">
        <v>8563</v>
      </c>
      <c r="C10491" s="3" t="s">
        <v>9113</v>
      </c>
      <c r="D10491" s="4" t="str">
        <f t="shared" si="1448"/>
        <v>12Go Link</v>
      </c>
      <c r="E10491" s="3" t="s">
        <v>3203</v>
      </c>
      <c r="K10491" s="5"/>
    </row>
    <row r="10492">
      <c r="A10492" s="3" t="s">
        <v>8587</v>
      </c>
      <c r="B10492" s="3" t="s">
        <v>8579</v>
      </c>
      <c r="C10492" s="3" t="s">
        <v>9114</v>
      </c>
      <c r="D10492" s="4" t="str">
        <f t="shared" ref="D10492:D10493" si="1449">HYPERLINK("https://12go.asia/en/travel/Uchisar-Hotel-Transfer/Kayseri-Airport", "12Go Link")</f>
        <v>12Go Link</v>
      </c>
      <c r="E10492" s="3" t="s">
        <v>3196</v>
      </c>
      <c r="K10492" s="5"/>
    </row>
    <row r="10493">
      <c r="A10493" s="3" t="s">
        <v>8587</v>
      </c>
      <c r="B10493" s="3" t="s">
        <v>8579</v>
      </c>
      <c r="C10493" s="3" t="s">
        <v>9114</v>
      </c>
      <c r="D10493" s="4" t="str">
        <f t="shared" si="1449"/>
        <v>12Go Link</v>
      </c>
      <c r="E10493" s="3" t="s">
        <v>3203</v>
      </c>
      <c r="K10493" s="5"/>
    </row>
    <row r="10494">
      <c r="A10494" s="3" t="s">
        <v>8587</v>
      </c>
      <c r="B10494" s="3" t="s">
        <v>8581</v>
      </c>
      <c r="C10494" s="3" t="s">
        <v>9115</v>
      </c>
      <c r="D10494" s="4" t="str">
        <f t="shared" ref="D10494:D10495" si="1450">HYPERLINK("https://12go.asia/en/travel/Uchisar-Hotel-Transfer/Nevsehir-Kapadokya-Airport", "12Go Link")</f>
        <v>12Go Link</v>
      </c>
      <c r="E10494" s="3" t="s">
        <v>3196</v>
      </c>
      <c r="K10494" s="5"/>
    </row>
    <row r="10495">
      <c r="A10495" s="3" t="s">
        <v>8587</v>
      </c>
      <c r="B10495" s="3" t="s">
        <v>8581</v>
      </c>
      <c r="C10495" s="3" t="s">
        <v>9115</v>
      </c>
      <c r="D10495" s="4" t="str">
        <f t="shared" si="1450"/>
        <v>12Go Link</v>
      </c>
      <c r="E10495" s="3" t="s">
        <v>3203</v>
      </c>
      <c r="K10495" s="5"/>
    </row>
    <row r="10496">
      <c r="A10496" s="3" t="s">
        <v>8590</v>
      </c>
      <c r="B10496" s="3" t="s">
        <v>8579</v>
      </c>
      <c r="C10496" s="3" t="s">
        <v>9116</v>
      </c>
      <c r="D10496" s="4" t="str">
        <f t="shared" ref="D10496:D10497" si="1451">HYPERLINK("https://12go.asia/en/travel/Urgup-Hotel-Transfer/Kayseri-Airport", "12Go Link")</f>
        <v>12Go Link</v>
      </c>
      <c r="E10496" s="3" t="s">
        <v>3196</v>
      </c>
      <c r="K10496" s="5"/>
    </row>
    <row r="10497">
      <c r="A10497" s="3" t="s">
        <v>8590</v>
      </c>
      <c r="B10497" s="3" t="s">
        <v>8579</v>
      </c>
      <c r="C10497" s="3" t="s">
        <v>9116</v>
      </c>
      <c r="D10497" s="4" t="str">
        <f t="shared" si="1451"/>
        <v>12Go Link</v>
      </c>
      <c r="E10497" s="3" t="s">
        <v>3203</v>
      </c>
      <c r="K10497" s="5"/>
    </row>
    <row r="10498">
      <c r="A10498" s="3" t="s">
        <v>8590</v>
      </c>
      <c r="B10498" s="3" t="s">
        <v>8581</v>
      </c>
      <c r="C10498" s="3" t="s">
        <v>9117</v>
      </c>
      <c r="D10498" s="4" t="str">
        <f t="shared" ref="D10498:D10499" si="1452">HYPERLINK("https://12go.asia/en/travel/Urgup-Hotel-Transfer/Nevsehir-Kapadokya-Airport", "12Go Link")</f>
        <v>12Go Link</v>
      </c>
      <c r="E10498" s="3" t="s">
        <v>3196</v>
      </c>
      <c r="K10498" s="5"/>
    </row>
    <row r="10499">
      <c r="A10499" s="3" t="s">
        <v>8590</v>
      </c>
      <c r="B10499" s="3" t="s">
        <v>8581</v>
      </c>
      <c r="C10499" s="3" t="s">
        <v>9117</v>
      </c>
      <c r="D10499" s="4" t="str">
        <f t="shared" si="1452"/>
        <v>12Go Link</v>
      </c>
      <c r="E10499" s="3" t="s">
        <v>3203</v>
      </c>
      <c r="K10499" s="5"/>
    </row>
    <row r="10500">
      <c r="A10500" s="3" t="s">
        <v>9002</v>
      </c>
      <c r="B10500" s="3" t="s">
        <v>8594</v>
      </c>
      <c r="C10500" s="3" t="s">
        <v>9118</v>
      </c>
      <c r="D10500" s="4" t="str">
        <f t="shared" ref="D10500:D10502" si="1453">HYPERLINK("https://12go.asia/en/travel/Urla-Hotel-Transfer/Adnan-Menderes-Airport", "12Go Link")</f>
        <v>12Go Link</v>
      </c>
      <c r="E10500" s="3" t="s">
        <v>3196</v>
      </c>
      <c r="K10500" s="5"/>
    </row>
    <row r="10501">
      <c r="A10501" s="3" t="s">
        <v>9002</v>
      </c>
      <c r="B10501" s="3" t="s">
        <v>8594</v>
      </c>
      <c r="C10501" s="3" t="s">
        <v>9118</v>
      </c>
      <c r="D10501" s="4" t="str">
        <f t="shared" si="1453"/>
        <v>12Go Link</v>
      </c>
      <c r="E10501" s="3" t="s">
        <v>226</v>
      </c>
      <c r="K10501" s="5"/>
    </row>
    <row r="10502">
      <c r="A10502" s="3" t="s">
        <v>9002</v>
      </c>
      <c r="B10502" s="3" t="s">
        <v>8594</v>
      </c>
      <c r="C10502" s="3" t="s">
        <v>9118</v>
      </c>
      <c r="D10502" s="4" t="str">
        <f t="shared" si="1453"/>
        <v>12Go Link</v>
      </c>
      <c r="E10502" s="3" t="s">
        <v>3203</v>
      </c>
      <c r="K10502" s="5"/>
    </row>
    <row r="10503">
      <c r="A10503" s="3" t="s">
        <v>8773</v>
      </c>
      <c r="B10503" s="3" t="s">
        <v>8563</v>
      </c>
      <c r="C10503" s="3" t="s">
        <v>9119</v>
      </c>
      <c r="D10503" s="4" t="str">
        <f t="shared" ref="D10503:D10505" si="1454">HYPERLINK("https://12go.asia/en/travel/Yesiluzumlu-Hotel-Transfer/Dalaman-Airport", "12Go Link")</f>
        <v>12Go Link</v>
      </c>
      <c r="E10503" s="3" t="s">
        <v>3196</v>
      </c>
      <c r="K10503" s="5"/>
    </row>
    <row r="10504">
      <c r="A10504" s="3" t="s">
        <v>8773</v>
      </c>
      <c r="B10504" s="3" t="s">
        <v>8563</v>
      </c>
      <c r="C10504" s="3" t="s">
        <v>9119</v>
      </c>
      <c r="D10504" s="4" t="str">
        <f t="shared" si="1454"/>
        <v>12Go Link</v>
      </c>
      <c r="E10504" s="3" t="s">
        <v>226</v>
      </c>
      <c r="K10504" s="5"/>
    </row>
    <row r="10505">
      <c r="A10505" s="3" t="s">
        <v>8773</v>
      </c>
      <c r="B10505" s="3" t="s">
        <v>8563</v>
      </c>
      <c r="C10505" s="3" t="s">
        <v>9119</v>
      </c>
      <c r="D10505" s="4" t="str">
        <f t="shared" si="1454"/>
        <v>12Go Link</v>
      </c>
      <c r="E10505" s="3" t="s">
        <v>3203</v>
      </c>
      <c r="K10505" s="5"/>
    </row>
    <row r="10506">
      <c r="A10506" s="3" t="s">
        <v>8775</v>
      </c>
      <c r="B10506" s="3" t="s">
        <v>8563</v>
      </c>
      <c r="C10506" s="3" t="s">
        <v>9120</v>
      </c>
      <c r="D10506" s="4" t="str">
        <f t="shared" ref="D10506:D10508" si="1455">HYPERLINK("https://12go.asia/en/travel/Uzunyurt-Hotel-Transfer/Dalaman-Airport", "12Go Link")</f>
        <v>12Go Link</v>
      </c>
      <c r="E10506" s="3" t="s">
        <v>3196</v>
      </c>
      <c r="K10506" s="5"/>
    </row>
    <row r="10507">
      <c r="A10507" s="3" t="s">
        <v>8775</v>
      </c>
      <c r="B10507" s="3" t="s">
        <v>8563</v>
      </c>
      <c r="C10507" s="3" t="s">
        <v>9120</v>
      </c>
      <c r="D10507" s="4" t="str">
        <f t="shared" si="1455"/>
        <v>12Go Link</v>
      </c>
      <c r="E10507" s="3" t="s">
        <v>226</v>
      </c>
      <c r="K10507" s="5"/>
    </row>
    <row r="10508">
      <c r="A10508" s="3" t="s">
        <v>8775</v>
      </c>
      <c r="B10508" s="3" t="s">
        <v>8563</v>
      </c>
      <c r="C10508" s="3" t="s">
        <v>9120</v>
      </c>
      <c r="D10508" s="4" t="str">
        <f t="shared" si="1455"/>
        <v>12Go Link</v>
      </c>
      <c r="E10508" s="3" t="s">
        <v>3203</v>
      </c>
      <c r="K10508" s="5"/>
    </row>
    <row r="10509">
      <c r="A10509" s="3" t="s">
        <v>9004</v>
      </c>
      <c r="B10509" s="3" t="s">
        <v>8594</v>
      </c>
      <c r="C10509" s="3" t="s">
        <v>9121</v>
      </c>
      <c r="D10509" s="4" t="str">
        <f t="shared" ref="D10509:D10511" si="1456">HYPERLINK("https://12go.asia/en/travel/Yalikavak-Hotel-Transfer/Adnan-Menderes-Airport", "12Go Link")</f>
        <v>12Go Link</v>
      </c>
      <c r="E10509" s="3" t="s">
        <v>3196</v>
      </c>
      <c r="K10509" s="5"/>
    </row>
    <row r="10510">
      <c r="A10510" s="3" t="s">
        <v>9004</v>
      </c>
      <c r="B10510" s="3" t="s">
        <v>8594</v>
      </c>
      <c r="C10510" s="3" t="s">
        <v>9121</v>
      </c>
      <c r="D10510" s="4" t="str">
        <f t="shared" si="1456"/>
        <v>12Go Link</v>
      </c>
      <c r="E10510" s="3" t="s">
        <v>226</v>
      </c>
      <c r="K10510" s="5"/>
    </row>
    <row r="10511">
      <c r="A10511" s="3" t="s">
        <v>9004</v>
      </c>
      <c r="B10511" s="3" t="s">
        <v>8594</v>
      </c>
      <c r="C10511" s="3" t="s">
        <v>9121</v>
      </c>
      <c r="D10511" s="4" t="str">
        <f t="shared" si="1456"/>
        <v>12Go Link</v>
      </c>
      <c r="E10511" s="3" t="s">
        <v>3203</v>
      </c>
      <c r="K10511" s="5"/>
    </row>
    <row r="10512">
      <c r="A10512" s="3" t="s">
        <v>9006</v>
      </c>
      <c r="B10512" s="3" t="s">
        <v>8594</v>
      </c>
      <c r="C10512" s="3" t="s">
        <v>9122</v>
      </c>
      <c r="D10512" s="4" t="str">
        <f t="shared" ref="D10512:D10514" si="1457">HYPERLINK("https://12go.asia/en/travel/Yalikoy-Hotel-Transfer/Adnan-Menderes-Airport", "12Go Link")</f>
        <v>12Go Link</v>
      </c>
      <c r="E10512" s="3" t="s">
        <v>3196</v>
      </c>
      <c r="K10512" s="5"/>
    </row>
    <row r="10513">
      <c r="A10513" s="3" t="s">
        <v>9006</v>
      </c>
      <c r="B10513" s="3" t="s">
        <v>8594</v>
      </c>
      <c r="C10513" s="3" t="s">
        <v>9122</v>
      </c>
      <c r="D10513" s="4" t="str">
        <f t="shared" si="1457"/>
        <v>12Go Link</v>
      </c>
      <c r="E10513" s="3" t="s">
        <v>226</v>
      </c>
      <c r="K10513" s="5"/>
    </row>
    <row r="10514">
      <c r="A10514" s="3" t="s">
        <v>9006</v>
      </c>
      <c r="B10514" s="3" t="s">
        <v>8594</v>
      </c>
      <c r="C10514" s="3" t="s">
        <v>9122</v>
      </c>
      <c r="D10514" s="4" t="str">
        <f t="shared" si="1457"/>
        <v>12Go Link</v>
      </c>
      <c r="E10514" s="3" t="s">
        <v>3203</v>
      </c>
      <c r="K10514" s="5"/>
    </row>
    <row r="10515">
      <c r="A10515" s="3" t="s">
        <v>8777</v>
      </c>
      <c r="B10515" s="3" t="s">
        <v>8563</v>
      </c>
      <c r="C10515" s="3" t="s">
        <v>9123</v>
      </c>
      <c r="D10515" s="4" t="str">
        <f t="shared" ref="D10515:D10517" si="1458">HYPERLINK("https://12go.asia/en/travel/Yaniklar-Hotel-Transfer/Dalaman-Airport", "12Go Link")</f>
        <v>12Go Link</v>
      </c>
      <c r="E10515" s="3" t="s">
        <v>3196</v>
      </c>
      <c r="K10515" s="5"/>
    </row>
    <row r="10516">
      <c r="A10516" s="3" t="s">
        <v>8777</v>
      </c>
      <c r="B10516" s="3" t="s">
        <v>8563</v>
      </c>
      <c r="C10516" s="3" t="s">
        <v>9123</v>
      </c>
      <c r="D10516" s="4" t="str">
        <f t="shared" si="1458"/>
        <v>12Go Link</v>
      </c>
      <c r="E10516" s="3" t="s">
        <v>226</v>
      </c>
      <c r="K10516" s="5"/>
    </row>
    <row r="10517">
      <c r="A10517" s="3" t="s">
        <v>8777</v>
      </c>
      <c r="B10517" s="3" t="s">
        <v>8563</v>
      </c>
      <c r="C10517" s="3" t="s">
        <v>9123</v>
      </c>
      <c r="D10517" s="4" t="str">
        <f t="shared" si="1458"/>
        <v>12Go Link</v>
      </c>
      <c r="E10517" s="3" t="s">
        <v>3203</v>
      </c>
      <c r="K10517" s="5"/>
    </row>
    <row r="10518">
      <c r="A10518" s="3" t="s">
        <v>9124</v>
      </c>
      <c r="B10518" s="3" t="s">
        <v>409</v>
      </c>
      <c r="C10518" s="3" t="s">
        <v>9125</v>
      </c>
      <c r="D10518" s="4" t="str">
        <f>HYPERLINK("https://12go.asia/en/travel/chatham/glencoe", "12Go Link")</f>
        <v>12Go Link</v>
      </c>
      <c r="E10518" s="3" t="s">
        <v>94</v>
      </c>
      <c r="K10518" s="5"/>
    </row>
    <row r="10519">
      <c r="A10519" s="3" t="s">
        <v>9126</v>
      </c>
      <c r="B10519" s="3" t="s">
        <v>412</v>
      </c>
      <c r="C10519" s="3" t="s">
        <v>9127</v>
      </c>
      <c r="D10519" s="4" t="str">
        <f>HYPERLINK("https://12go.asia/en/travel/chelmsford/larchwood", "12Go Link")</f>
        <v>12Go Link</v>
      </c>
      <c r="E10519" s="3" t="s">
        <v>94</v>
      </c>
      <c r="K10519" s="5"/>
    </row>
    <row r="10520">
      <c r="A10520" s="3" t="s">
        <v>9126</v>
      </c>
      <c r="B10520" s="3" t="s">
        <v>414</v>
      </c>
      <c r="C10520" s="3" t="s">
        <v>9128</v>
      </c>
      <c r="D10520" s="4" t="str">
        <f>HYPERLINK("https://12go.asia/en/travel/chelmsford/sudbury", "12Go Link")</f>
        <v>12Go Link</v>
      </c>
      <c r="E10520" s="3" t="s">
        <v>94</v>
      </c>
      <c r="K10520" s="5"/>
    </row>
    <row r="10521">
      <c r="A10521" s="3" t="s">
        <v>9129</v>
      </c>
      <c r="B10521" s="3" t="s">
        <v>124</v>
      </c>
      <c r="C10521" s="3" t="s">
        <v>9130</v>
      </c>
      <c r="D10521" s="4" t="str">
        <f>HYPERLINK("https://12go.asia/en/travel/ipswich/dalby", "12Go Link")</f>
        <v>12Go Link</v>
      </c>
      <c r="E10521" s="3" t="s">
        <v>8</v>
      </c>
      <c r="K10521" s="5"/>
    </row>
    <row r="10522">
      <c r="A10522" s="3" t="s">
        <v>9131</v>
      </c>
      <c r="B10522" s="3" t="s">
        <v>38</v>
      </c>
      <c r="C10522" s="3" t="s">
        <v>9132</v>
      </c>
      <c r="D10522" s="4" t="str">
        <f>HYPERLINK("https://12go.asia/en/travel/southport/yamba", "12Go Link")</f>
        <v>12Go Link</v>
      </c>
      <c r="E10522" s="3" t="s">
        <v>8</v>
      </c>
      <c r="K10522" s="5"/>
    </row>
    <row r="10523">
      <c r="A10523" s="3" t="s">
        <v>9133</v>
      </c>
      <c r="B10523" s="3" t="s">
        <v>9133</v>
      </c>
      <c r="C10523" s="3" t="s">
        <v>9134</v>
      </c>
      <c r="D10523" s="4" t="str">
        <f t="shared" ref="D10523:D10526" si="1459">HYPERLINK("https://12go.asia/en/travel/Abu-Dhabi-Airport/Abu-Dhabi-Cruise-Terminal", "12Go Link")</f>
        <v>12Go Link</v>
      </c>
      <c r="E10523" s="3" t="s">
        <v>3265</v>
      </c>
      <c r="K10523" s="5"/>
    </row>
    <row r="10524">
      <c r="A10524" s="3" t="s">
        <v>9133</v>
      </c>
      <c r="B10524" s="3" t="s">
        <v>9133</v>
      </c>
      <c r="C10524" s="3" t="s">
        <v>9134</v>
      </c>
      <c r="D10524" s="4" t="str">
        <f t="shared" si="1459"/>
        <v>12Go Link</v>
      </c>
      <c r="E10524" s="3" t="s">
        <v>3196</v>
      </c>
      <c r="K10524" s="5"/>
    </row>
    <row r="10525">
      <c r="A10525" s="3" t="s">
        <v>9133</v>
      </c>
      <c r="B10525" s="3" t="s">
        <v>9133</v>
      </c>
      <c r="C10525" s="3" t="s">
        <v>9134</v>
      </c>
      <c r="D10525" s="4" t="str">
        <f t="shared" si="1459"/>
        <v>12Go Link</v>
      </c>
      <c r="E10525" s="3" t="s">
        <v>226</v>
      </c>
      <c r="K10525" s="5"/>
    </row>
    <row r="10526">
      <c r="A10526" s="3" t="s">
        <v>9133</v>
      </c>
      <c r="B10526" s="3" t="s">
        <v>9133</v>
      </c>
      <c r="C10526" s="3" t="s">
        <v>9134</v>
      </c>
      <c r="D10526" s="4" t="str">
        <f t="shared" si="1459"/>
        <v>12Go Link</v>
      </c>
      <c r="E10526" s="3" t="s">
        <v>3203</v>
      </c>
      <c r="K10526" s="5"/>
    </row>
    <row r="10527">
      <c r="A10527" s="3" t="s">
        <v>9133</v>
      </c>
      <c r="B10527" s="3" t="s">
        <v>9133</v>
      </c>
      <c r="C10527" s="3" t="s">
        <v>9135</v>
      </c>
      <c r="D10527" s="4" t="str">
        <f t="shared" ref="D10527:D10530" si="1460">HYPERLINK("https://12go.asia/en/travel/Abu-Dhabi-Airport/Abu-Dhabi-Hotel-Transfer", "12Go Link")</f>
        <v>12Go Link</v>
      </c>
      <c r="E10527" s="3" t="s">
        <v>3265</v>
      </c>
      <c r="K10527" s="5"/>
    </row>
    <row r="10528">
      <c r="A10528" s="3" t="s">
        <v>9133</v>
      </c>
      <c r="B10528" s="3" t="s">
        <v>9133</v>
      </c>
      <c r="C10528" s="3" t="s">
        <v>9135</v>
      </c>
      <c r="D10528" s="4" t="str">
        <f t="shared" si="1460"/>
        <v>12Go Link</v>
      </c>
      <c r="E10528" s="3" t="s">
        <v>3196</v>
      </c>
      <c r="K10528" s="5"/>
    </row>
    <row r="10529">
      <c r="A10529" s="3" t="s">
        <v>9133</v>
      </c>
      <c r="B10529" s="3" t="s">
        <v>9133</v>
      </c>
      <c r="C10529" s="3" t="s">
        <v>9135</v>
      </c>
      <c r="D10529" s="4" t="str">
        <f t="shared" si="1460"/>
        <v>12Go Link</v>
      </c>
      <c r="E10529" s="3" t="s">
        <v>226</v>
      </c>
      <c r="K10529" s="5"/>
    </row>
    <row r="10530">
      <c r="A10530" s="3" t="s">
        <v>9133</v>
      </c>
      <c r="B10530" s="3" t="s">
        <v>9133</v>
      </c>
      <c r="C10530" s="3" t="s">
        <v>9135</v>
      </c>
      <c r="D10530" s="4" t="str">
        <f t="shared" si="1460"/>
        <v>12Go Link</v>
      </c>
      <c r="E10530" s="3" t="s">
        <v>3203</v>
      </c>
      <c r="K10530" s="5"/>
    </row>
    <row r="10531">
      <c r="A10531" s="3" t="s">
        <v>9133</v>
      </c>
      <c r="B10531" s="3" t="s">
        <v>9133</v>
      </c>
      <c r="C10531" s="3" t="s">
        <v>9136</v>
      </c>
      <c r="D10531" s="4" t="str">
        <f t="shared" ref="D10531:D10534" si="1461">HYPERLINK("https://12go.asia/en/travel/Abu-Dhabi-Airport/Al-Bateen-Executive-Airport", "12Go Link")</f>
        <v>12Go Link</v>
      </c>
      <c r="E10531" s="3" t="s">
        <v>3265</v>
      </c>
      <c r="K10531" s="5"/>
    </row>
    <row r="10532">
      <c r="A10532" s="3" t="s">
        <v>9133</v>
      </c>
      <c r="B10532" s="3" t="s">
        <v>9133</v>
      </c>
      <c r="C10532" s="3" t="s">
        <v>9136</v>
      </c>
      <c r="D10532" s="4" t="str">
        <f t="shared" si="1461"/>
        <v>12Go Link</v>
      </c>
      <c r="E10532" s="3" t="s">
        <v>3196</v>
      </c>
      <c r="K10532" s="5"/>
    </row>
    <row r="10533">
      <c r="A10533" s="3" t="s">
        <v>9133</v>
      </c>
      <c r="B10533" s="3" t="s">
        <v>9133</v>
      </c>
      <c r="C10533" s="3" t="s">
        <v>9136</v>
      </c>
      <c r="D10533" s="4" t="str">
        <f t="shared" si="1461"/>
        <v>12Go Link</v>
      </c>
      <c r="E10533" s="3" t="s">
        <v>226</v>
      </c>
      <c r="K10533" s="5"/>
    </row>
    <row r="10534">
      <c r="A10534" s="3" t="s">
        <v>9133</v>
      </c>
      <c r="B10534" s="3" t="s">
        <v>9133</v>
      </c>
      <c r="C10534" s="3" t="s">
        <v>9136</v>
      </c>
      <c r="D10534" s="4" t="str">
        <f t="shared" si="1461"/>
        <v>12Go Link</v>
      </c>
      <c r="E10534" s="3" t="s">
        <v>3203</v>
      </c>
      <c r="K10534" s="5"/>
    </row>
    <row r="10535">
      <c r="A10535" s="3" t="s">
        <v>9133</v>
      </c>
      <c r="B10535" s="3" t="s">
        <v>9133</v>
      </c>
      <c r="C10535" s="3" t="s">
        <v>9137</v>
      </c>
      <c r="D10535" s="4" t="str">
        <f t="shared" ref="D10535:D10538" si="1462">HYPERLINK("https://12go.asia/en/travel/Abu-Dhabi-Airport/Al-Jazira-Resort", "12Go Link")</f>
        <v>12Go Link</v>
      </c>
      <c r="E10535" s="3" t="s">
        <v>3265</v>
      </c>
      <c r="K10535" s="5"/>
    </row>
    <row r="10536">
      <c r="A10536" s="3" t="s">
        <v>9133</v>
      </c>
      <c r="B10536" s="3" t="s">
        <v>9133</v>
      </c>
      <c r="C10536" s="3" t="s">
        <v>9137</v>
      </c>
      <c r="D10536" s="4" t="str">
        <f t="shared" si="1462"/>
        <v>12Go Link</v>
      </c>
      <c r="E10536" s="3" t="s">
        <v>3196</v>
      </c>
      <c r="K10536" s="5"/>
    </row>
    <row r="10537">
      <c r="A10537" s="3" t="s">
        <v>9133</v>
      </c>
      <c r="B10537" s="3" t="s">
        <v>9133</v>
      </c>
      <c r="C10537" s="3" t="s">
        <v>9137</v>
      </c>
      <c r="D10537" s="4" t="str">
        <f t="shared" si="1462"/>
        <v>12Go Link</v>
      </c>
      <c r="E10537" s="3" t="s">
        <v>226</v>
      </c>
      <c r="K10537" s="5"/>
    </row>
    <row r="10538">
      <c r="A10538" s="3" t="s">
        <v>9133</v>
      </c>
      <c r="B10538" s="3" t="s">
        <v>9133</v>
      </c>
      <c r="C10538" s="3" t="s">
        <v>9137</v>
      </c>
      <c r="D10538" s="4" t="str">
        <f t="shared" si="1462"/>
        <v>12Go Link</v>
      </c>
      <c r="E10538" s="3" t="s">
        <v>3203</v>
      </c>
      <c r="K10538" s="5"/>
    </row>
    <row r="10539">
      <c r="A10539" s="3" t="s">
        <v>9133</v>
      </c>
      <c r="B10539" s="3" t="s">
        <v>9133</v>
      </c>
      <c r="C10539" s="3" t="s">
        <v>9138</v>
      </c>
      <c r="D10539" s="4" t="str">
        <f t="shared" ref="D10539:D10542" si="1463">HYPERLINK("https://12go.asia/en/travel/Abu-Dhabi-Airport/Al-Maqta-Hotel-Transfer", "12Go Link")</f>
        <v>12Go Link</v>
      </c>
      <c r="E10539" s="3" t="s">
        <v>3265</v>
      </c>
      <c r="K10539" s="5"/>
    </row>
    <row r="10540">
      <c r="A10540" s="3" t="s">
        <v>9133</v>
      </c>
      <c r="B10540" s="3" t="s">
        <v>9133</v>
      </c>
      <c r="C10540" s="3" t="s">
        <v>9138</v>
      </c>
      <c r="D10540" s="4" t="str">
        <f t="shared" si="1463"/>
        <v>12Go Link</v>
      </c>
      <c r="E10540" s="3" t="s">
        <v>3196</v>
      </c>
      <c r="K10540" s="5"/>
    </row>
    <row r="10541">
      <c r="A10541" s="3" t="s">
        <v>9133</v>
      </c>
      <c r="B10541" s="3" t="s">
        <v>9133</v>
      </c>
      <c r="C10541" s="3" t="s">
        <v>9138</v>
      </c>
      <c r="D10541" s="4" t="str">
        <f t="shared" si="1463"/>
        <v>12Go Link</v>
      </c>
      <c r="E10541" s="3" t="s">
        <v>226</v>
      </c>
      <c r="K10541" s="5"/>
    </row>
    <row r="10542">
      <c r="A10542" s="3" t="s">
        <v>9133</v>
      </c>
      <c r="B10542" s="3" t="s">
        <v>9133</v>
      </c>
      <c r="C10542" s="3" t="s">
        <v>9138</v>
      </c>
      <c r="D10542" s="4" t="str">
        <f t="shared" si="1463"/>
        <v>12Go Link</v>
      </c>
      <c r="E10542" s="3" t="s">
        <v>3203</v>
      </c>
      <c r="K10542" s="5"/>
    </row>
    <row r="10543">
      <c r="A10543" s="3" t="s">
        <v>9133</v>
      </c>
      <c r="B10543" s="3" t="s">
        <v>9133</v>
      </c>
      <c r="C10543" s="3" t="s">
        <v>9139</v>
      </c>
      <c r="D10543" s="4" t="str">
        <f t="shared" ref="D10543:D10546" si="1464">HYPERLINK("https://12go.asia/en/travel/Abu-Dhabi-Airport/Al-Mina-Hotel-Transfer", "12Go Link")</f>
        <v>12Go Link</v>
      </c>
      <c r="E10543" s="3" t="s">
        <v>3265</v>
      </c>
      <c r="K10543" s="5"/>
    </row>
    <row r="10544">
      <c r="A10544" s="3" t="s">
        <v>9133</v>
      </c>
      <c r="B10544" s="3" t="s">
        <v>9133</v>
      </c>
      <c r="C10544" s="3" t="s">
        <v>9139</v>
      </c>
      <c r="D10544" s="4" t="str">
        <f t="shared" si="1464"/>
        <v>12Go Link</v>
      </c>
      <c r="E10544" s="3" t="s">
        <v>3196</v>
      </c>
      <c r="K10544" s="5"/>
    </row>
    <row r="10545">
      <c r="A10545" s="3" t="s">
        <v>9133</v>
      </c>
      <c r="B10545" s="3" t="s">
        <v>9133</v>
      </c>
      <c r="C10545" s="3" t="s">
        <v>9139</v>
      </c>
      <c r="D10545" s="4" t="str">
        <f t="shared" si="1464"/>
        <v>12Go Link</v>
      </c>
      <c r="E10545" s="3" t="s">
        <v>226</v>
      </c>
      <c r="K10545" s="5"/>
    </row>
    <row r="10546">
      <c r="A10546" s="3" t="s">
        <v>9133</v>
      </c>
      <c r="B10546" s="3" t="s">
        <v>9133</v>
      </c>
      <c r="C10546" s="3" t="s">
        <v>9139</v>
      </c>
      <c r="D10546" s="4" t="str">
        <f t="shared" si="1464"/>
        <v>12Go Link</v>
      </c>
      <c r="E10546" s="3" t="s">
        <v>3203</v>
      </c>
      <c r="K10546" s="5"/>
    </row>
    <row r="10547">
      <c r="A10547" s="3" t="s">
        <v>9133</v>
      </c>
      <c r="B10547" s="3" t="s">
        <v>9133</v>
      </c>
      <c r="C10547" s="3" t="s">
        <v>9140</v>
      </c>
      <c r="D10547" s="4" t="str">
        <f t="shared" ref="D10547:D10550" si="1465">HYPERLINK("https://12go.asia/en/travel/Abu-Dhabi-Airport/Al-Rahba-Hotel-Transfer", "12Go Link")</f>
        <v>12Go Link</v>
      </c>
      <c r="E10547" s="3" t="s">
        <v>3265</v>
      </c>
      <c r="K10547" s="5"/>
    </row>
    <row r="10548">
      <c r="A10548" s="3" t="s">
        <v>9133</v>
      </c>
      <c r="B10548" s="3" t="s">
        <v>9133</v>
      </c>
      <c r="C10548" s="3" t="s">
        <v>9140</v>
      </c>
      <c r="D10548" s="4" t="str">
        <f t="shared" si="1465"/>
        <v>12Go Link</v>
      </c>
      <c r="E10548" s="3" t="s">
        <v>3196</v>
      </c>
      <c r="K10548" s="5"/>
    </row>
    <row r="10549">
      <c r="A10549" s="3" t="s">
        <v>9133</v>
      </c>
      <c r="B10549" s="3" t="s">
        <v>9133</v>
      </c>
      <c r="C10549" s="3" t="s">
        <v>9140</v>
      </c>
      <c r="D10549" s="4" t="str">
        <f t="shared" si="1465"/>
        <v>12Go Link</v>
      </c>
      <c r="E10549" s="3" t="s">
        <v>226</v>
      </c>
      <c r="K10549" s="5"/>
    </row>
    <row r="10550">
      <c r="A10550" s="3" t="s">
        <v>9133</v>
      </c>
      <c r="B10550" s="3" t="s">
        <v>9133</v>
      </c>
      <c r="C10550" s="3" t="s">
        <v>9140</v>
      </c>
      <c r="D10550" s="4" t="str">
        <f t="shared" si="1465"/>
        <v>12Go Link</v>
      </c>
      <c r="E10550" s="3" t="s">
        <v>3203</v>
      </c>
      <c r="K10550" s="5"/>
    </row>
    <row r="10551">
      <c r="A10551" s="3" t="s">
        <v>9133</v>
      </c>
      <c r="B10551" s="3" t="s">
        <v>9133</v>
      </c>
      <c r="C10551" s="3" t="s">
        <v>9141</v>
      </c>
      <c r="D10551" s="4" t="str">
        <f t="shared" ref="D10551:D10554" si="1466">HYPERLINK("https://12go.asia/en/travel/Abu-Dhabi-Airport/Saadiyat-Island-Hotel-Transfer", "12Go Link")</f>
        <v>12Go Link</v>
      </c>
      <c r="E10551" s="3" t="s">
        <v>3265</v>
      </c>
      <c r="K10551" s="5"/>
    </row>
    <row r="10552">
      <c r="A10552" s="3" t="s">
        <v>9133</v>
      </c>
      <c r="B10552" s="3" t="s">
        <v>9133</v>
      </c>
      <c r="C10552" s="3" t="s">
        <v>9141</v>
      </c>
      <c r="D10552" s="4" t="str">
        <f t="shared" si="1466"/>
        <v>12Go Link</v>
      </c>
      <c r="E10552" s="3" t="s">
        <v>3196</v>
      </c>
      <c r="K10552" s="5"/>
    </row>
    <row r="10553">
      <c r="A10553" s="3" t="s">
        <v>9133</v>
      </c>
      <c r="B10553" s="3" t="s">
        <v>9133</v>
      </c>
      <c r="C10553" s="3" t="s">
        <v>9141</v>
      </c>
      <c r="D10553" s="4" t="str">
        <f t="shared" si="1466"/>
        <v>12Go Link</v>
      </c>
      <c r="E10553" s="3" t="s">
        <v>226</v>
      </c>
      <c r="K10553" s="5"/>
    </row>
    <row r="10554">
      <c r="A10554" s="3" t="s">
        <v>9133</v>
      </c>
      <c r="B10554" s="3" t="s">
        <v>9133</v>
      </c>
      <c r="C10554" s="3" t="s">
        <v>9141</v>
      </c>
      <c r="D10554" s="4" t="str">
        <f t="shared" si="1466"/>
        <v>12Go Link</v>
      </c>
      <c r="E10554" s="3" t="s">
        <v>3203</v>
      </c>
      <c r="K10554" s="5"/>
    </row>
    <row r="10555">
      <c r="A10555" s="3" t="s">
        <v>9133</v>
      </c>
      <c r="B10555" s="3" t="s">
        <v>9133</v>
      </c>
      <c r="C10555" s="3" t="s">
        <v>9142</v>
      </c>
      <c r="D10555" s="4" t="str">
        <f t="shared" ref="D10555:D10558" si="1467">HYPERLINK("https://12go.asia/en/travel/Abu-Dhabi-Airport/Yas-Island-Hotel-Transfer", "12Go Link")</f>
        <v>12Go Link</v>
      </c>
      <c r="E10555" s="3" t="s">
        <v>3265</v>
      </c>
      <c r="K10555" s="5"/>
    </row>
    <row r="10556">
      <c r="A10556" s="3" t="s">
        <v>9133</v>
      </c>
      <c r="B10556" s="3" t="s">
        <v>9133</v>
      </c>
      <c r="C10556" s="3" t="s">
        <v>9142</v>
      </c>
      <c r="D10556" s="4" t="str">
        <f t="shared" si="1467"/>
        <v>12Go Link</v>
      </c>
      <c r="E10556" s="3" t="s">
        <v>3196</v>
      </c>
      <c r="K10556" s="5"/>
    </row>
    <row r="10557">
      <c r="A10557" s="3" t="s">
        <v>9133</v>
      </c>
      <c r="B10557" s="3" t="s">
        <v>9133</v>
      </c>
      <c r="C10557" s="3" t="s">
        <v>9142</v>
      </c>
      <c r="D10557" s="4" t="str">
        <f t="shared" si="1467"/>
        <v>12Go Link</v>
      </c>
      <c r="E10557" s="3" t="s">
        <v>226</v>
      </c>
      <c r="K10557" s="5"/>
    </row>
    <row r="10558">
      <c r="A10558" s="3" t="s">
        <v>9133</v>
      </c>
      <c r="B10558" s="3" t="s">
        <v>9133</v>
      </c>
      <c r="C10558" s="3" t="s">
        <v>9142</v>
      </c>
      <c r="D10558" s="4" t="str">
        <f t="shared" si="1467"/>
        <v>12Go Link</v>
      </c>
      <c r="E10558" s="3" t="s">
        <v>3203</v>
      </c>
      <c r="K10558" s="5"/>
    </row>
    <row r="10559">
      <c r="A10559" s="3" t="s">
        <v>9133</v>
      </c>
      <c r="B10559" s="3" t="s">
        <v>9133</v>
      </c>
      <c r="C10559" s="3" t="s">
        <v>9143</v>
      </c>
      <c r="D10559" s="4" t="str">
        <f t="shared" ref="D10559:D10562" si="1468">HYPERLINK("https://12go.asia/en/travel/Abu-Dhabi-Cruise-Terminal/Abu-Dhabi-Airport", "12Go Link")</f>
        <v>12Go Link</v>
      </c>
      <c r="E10559" s="3" t="s">
        <v>3265</v>
      </c>
      <c r="K10559" s="5"/>
    </row>
    <row r="10560">
      <c r="A10560" s="3" t="s">
        <v>9133</v>
      </c>
      <c r="B10560" s="3" t="s">
        <v>9133</v>
      </c>
      <c r="C10560" s="3" t="s">
        <v>9143</v>
      </c>
      <c r="D10560" s="4" t="str">
        <f t="shared" si="1468"/>
        <v>12Go Link</v>
      </c>
      <c r="E10560" s="3" t="s">
        <v>3196</v>
      </c>
      <c r="K10560" s="5"/>
    </row>
    <row r="10561">
      <c r="A10561" s="3" t="s">
        <v>9133</v>
      </c>
      <c r="B10561" s="3" t="s">
        <v>9133</v>
      </c>
      <c r="C10561" s="3" t="s">
        <v>9143</v>
      </c>
      <c r="D10561" s="4" t="str">
        <f t="shared" si="1468"/>
        <v>12Go Link</v>
      </c>
      <c r="E10561" s="3" t="s">
        <v>226</v>
      </c>
      <c r="K10561" s="5"/>
    </row>
    <row r="10562">
      <c r="A10562" s="3" t="s">
        <v>9133</v>
      </c>
      <c r="B10562" s="3" t="s">
        <v>9133</v>
      </c>
      <c r="C10562" s="3" t="s">
        <v>9143</v>
      </c>
      <c r="D10562" s="4" t="str">
        <f t="shared" si="1468"/>
        <v>12Go Link</v>
      </c>
      <c r="E10562" s="3" t="s">
        <v>3203</v>
      </c>
      <c r="K10562" s="5"/>
    </row>
    <row r="10563">
      <c r="A10563" s="3" t="s">
        <v>9133</v>
      </c>
      <c r="B10563" s="3" t="s">
        <v>9133</v>
      </c>
      <c r="C10563" s="3" t="s">
        <v>9144</v>
      </c>
      <c r="D10563" s="4" t="str">
        <f t="shared" ref="D10563:D10566" si="1469">HYPERLINK("https://12go.asia/en/travel/Abu-Dhabi-Hotel-Transfer/Abu-Dhabi-Airport", "12Go Link")</f>
        <v>12Go Link</v>
      </c>
      <c r="E10563" s="3" t="s">
        <v>3265</v>
      </c>
      <c r="K10563" s="5"/>
    </row>
    <row r="10564">
      <c r="A10564" s="3" t="s">
        <v>9133</v>
      </c>
      <c r="B10564" s="3" t="s">
        <v>9133</v>
      </c>
      <c r="C10564" s="3" t="s">
        <v>9144</v>
      </c>
      <c r="D10564" s="4" t="str">
        <f t="shared" si="1469"/>
        <v>12Go Link</v>
      </c>
      <c r="E10564" s="3" t="s">
        <v>3196</v>
      </c>
      <c r="K10564" s="5"/>
    </row>
    <row r="10565">
      <c r="A10565" s="3" t="s">
        <v>9133</v>
      </c>
      <c r="B10565" s="3" t="s">
        <v>9133</v>
      </c>
      <c r="C10565" s="3" t="s">
        <v>9144</v>
      </c>
      <c r="D10565" s="4" t="str">
        <f t="shared" si="1469"/>
        <v>12Go Link</v>
      </c>
      <c r="E10565" s="3" t="s">
        <v>226</v>
      </c>
      <c r="K10565" s="5"/>
    </row>
    <row r="10566">
      <c r="A10566" s="3" t="s">
        <v>9133</v>
      </c>
      <c r="B10566" s="3" t="s">
        <v>9133</v>
      </c>
      <c r="C10566" s="3" t="s">
        <v>9144</v>
      </c>
      <c r="D10566" s="4" t="str">
        <f t="shared" si="1469"/>
        <v>12Go Link</v>
      </c>
      <c r="E10566" s="3" t="s">
        <v>3203</v>
      </c>
      <c r="K10566" s="5"/>
    </row>
    <row r="10567">
      <c r="A10567" s="3" t="s">
        <v>9133</v>
      </c>
      <c r="B10567" s="3" t="s">
        <v>9133</v>
      </c>
      <c r="C10567" s="3" t="s">
        <v>9145</v>
      </c>
      <c r="D10567" s="4" t="str">
        <f t="shared" ref="D10567:D10570" si="1470">HYPERLINK("https://12go.asia/en/travel/Al-Bateen-Executive-Airport/Abu-Dhabi-Airport", "12Go Link")</f>
        <v>12Go Link</v>
      </c>
      <c r="E10567" s="3" t="s">
        <v>3265</v>
      </c>
      <c r="K10567" s="5"/>
    </row>
    <row r="10568">
      <c r="A10568" s="3" t="s">
        <v>9133</v>
      </c>
      <c r="B10568" s="3" t="s">
        <v>9133</v>
      </c>
      <c r="C10568" s="3" t="s">
        <v>9145</v>
      </c>
      <c r="D10568" s="4" t="str">
        <f t="shared" si="1470"/>
        <v>12Go Link</v>
      </c>
      <c r="E10568" s="3" t="s">
        <v>3196</v>
      </c>
      <c r="K10568" s="5"/>
    </row>
    <row r="10569">
      <c r="A10569" s="3" t="s">
        <v>9133</v>
      </c>
      <c r="B10569" s="3" t="s">
        <v>9133</v>
      </c>
      <c r="C10569" s="3" t="s">
        <v>9145</v>
      </c>
      <c r="D10569" s="4" t="str">
        <f t="shared" si="1470"/>
        <v>12Go Link</v>
      </c>
      <c r="E10569" s="3" t="s">
        <v>226</v>
      </c>
      <c r="K10569" s="5"/>
    </row>
    <row r="10570">
      <c r="A10570" s="3" t="s">
        <v>9133</v>
      </c>
      <c r="B10570" s="3" t="s">
        <v>9133</v>
      </c>
      <c r="C10570" s="3" t="s">
        <v>9145</v>
      </c>
      <c r="D10570" s="4" t="str">
        <f t="shared" si="1470"/>
        <v>12Go Link</v>
      </c>
      <c r="E10570" s="3" t="s">
        <v>3203</v>
      </c>
      <c r="K10570" s="5"/>
    </row>
    <row r="10571">
      <c r="A10571" s="3" t="s">
        <v>9133</v>
      </c>
      <c r="B10571" s="3" t="s">
        <v>9133</v>
      </c>
      <c r="C10571" s="3" t="s">
        <v>9146</v>
      </c>
      <c r="D10571" s="4" t="str">
        <f t="shared" ref="D10571:D10574" si="1471">HYPERLINK("https://12go.asia/en/travel/Al-Jazira-Resort/Abu-Dhabi-Airport", "12Go Link")</f>
        <v>12Go Link</v>
      </c>
      <c r="E10571" s="3" t="s">
        <v>3265</v>
      </c>
      <c r="K10571" s="5"/>
    </row>
    <row r="10572">
      <c r="A10572" s="3" t="s">
        <v>9133</v>
      </c>
      <c r="B10572" s="3" t="s">
        <v>9133</v>
      </c>
      <c r="C10572" s="3" t="s">
        <v>9146</v>
      </c>
      <c r="D10572" s="4" t="str">
        <f t="shared" si="1471"/>
        <v>12Go Link</v>
      </c>
      <c r="E10572" s="3" t="s">
        <v>3196</v>
      </c>
      <c r="K10572" s="5"/>
    </row>
    <row r="10573">
      <c r="A10573" s="3" t="s">
        <v>9133</v>
      </c>
      <c r="B10573" s="3" t="s">
        <v>9133</v>
      </c>
      <c r="C10573" s="3" t="s">
        <v>9146</v>
      </c>
      <c r="D10573" s="4" t="str">
        <f t="shared" si="1471"/>
        <v>12Go Link</v>
      </c>
      <c r="E10573" s="3" t="s">
        <v>226</v>
      </c>
      <c r="K10573" s="5"/>
    </row>
    <row r="10574">
      <c r="A10574" s="3" t="s">
        <v>9133</v>
      </c>
      <c r="B10574" s="3" t="s">
        <v>9133</v>
      </c>
      <c r="C10574" s="3" t="s">
        <v>9146</v>
      </c>
      <c r="D10574" s="4" t="str">
        <f t="shared" si="1471"/>
        <v>12Go Link</v>
      </c>
      <c r="E10574" s="3" t="s">
        <v>3203</v>
      </c>
      <c r="K10574" s="5"/>
    </row>
    <row r="10575">
      <c r="A10575" s="3" t="s">
        <v>9133</v>
      </c>
      <c r="B10575" s="3" t="s">
        <v>9133</v>
      </c>
      <c r="C10575" s="3" t="s">
        <v>9147</v>
      </c>
      <c r="D10575" s="4" t="str">
        <f t="shared" ref="D10575:D10578" si="1472">HYPERLINK("https://12go.asia/en/travel/Al-Maqta-Hotel-Transfer/Abu-Dhabi-Airport", "12Go Link")</f>
        <v>12Go Link</v>
      </c>
      <c r="E10575" s="3" t="s">
        <v>3265</v>
      </c>
      <c r="K10575" s="5"/>
    </row>
    <row r="10576">
      <c r="A10576" s="3" t="s">
        <v>9133</v>
      </c>
      <c r="B10576" s="3" t="s">
        <v>9133</v>
      </c>
      <c r="C10576" s="3" t="s">
        <v>9147</v>
      </c>
      <c r="D10576" s="4" t="str">
        <f t="shared" si="1472"/>
        <v>12Go Link</v>
      </c>
      <c r="E10576" s="3" t="s">
        <v>3196</v>
      </c>
      <c r="K10576" s="5"/>
    </row>
    <row r="10577">
      <c r="A10577" s="3" t="s">
        <v>9133</v>
      </c>
      <c r="B10577" s="3" t="s">
        <v>9133</v>
      </c>
      <c r="C10577" s="3" t="s">
        <v>9147</v>
      </c>
      <c r="D10577" s="4" t="str">
        <f t="shared" si="1472"/>
        <v>12Go Link</v>
      </c>
      <c r="E10577" s="3" t="s">
        <v>226</v>
      </c>
      <c r="K10577" s="5"/>
    </row>
    <row r="10578">
      <c r="A10578" s="3" t="s">
        <v>9133</v>
      </c>
      <c r="B10578" s="3" t="s">
        <v>9133</v>
      </c>
      <c r="C10578" s="3" t="s">
        <v>9147</v>
      </c>
      <c r="D10578" s="4" t="str">
        <f t="shared" si="1472"/>
        <v>12Go Link</v>
      </c>
      <c r="E10578" s="3" t="s">
        <v>3203</v>
      </c>
      <c r="K10578" s="5"/>
    </row>
    <row r="10579">
      <c r="A10579" s="3" t="s">
        <v>9133</v>
      </c>
      <c r="B10579" s="3" t="s">
        <v>9133</v>
      </c>
      <c r="C10579" s="3" t="s">
        <v>9148</v>
      </c>
      <c r="D10579" s="4" t="str">
        <f t="shared" ref="D10579:D10582" si="1473">HYPERLINK("https://12go.asia/en/travel/Al-Mina-Hotel-Transfer/Abu-Dhabi-Airport", "12Go Link")</f>
        <v>12Go Link</v>
      </c>
      <c r="E10579" s="3" t="s">
        <v>3265</v>
      </c>
      <c r="K10579" s="5"/>
    </row>
    <row r="10580">
      <c r="A10580" s="3" t="s">
        <v>9133</v>
      </c>
      <c r="B10580" s="3" t="s">
        <v>9133</v>
      </c>
      <c r="C10580" s="3" t="s">
        <v>9148</v>
      </c>
      <c r="D10580" s="4" t="str">
        <f t="shared" si="1473"/>
        <v>12Go Link</v>
      </c>
      <c r="E10580" s="3" t="s">
        <v>3196</v>
      </c>
      <c r="K10580" s="5"/>
    </row>
    <row r="10581">
      <c r="A10581" s="3" t="s">
        <v>9133</v>
      </c>
      <c r="B10581" s="3" t="s">
        <v>9133</v>
      </c>
      <c r="C10581" s="3" t="s">
        <v>9148</v>
      </c>
      <c r="D10581" s="4" t="str">
        <f t="shared" si="1473"/>
        <v>12Go Link</v>
      </c>
      <c r="E10581" s="3" t="s">
        <v>226</v>
      </c>
      <c r="K10581" s="5"/>
    </row>
    <row r="10582">
      <c r="A10582" s="3" t="s">
        <v>9133</v>
      </c>
      <c r="B10582" s="3" t="s">
        <v>9133</v>
      </c>
      <c r="C10582" s="3" t="s">
        <v>9148</v>
      </c>
      <c r="D10582" s="4" t="str">
        <f t="shared" si="1473"/>
        <v>12Go Link</v>
      </c>
      <c r="E10582" s="3" t="s">
        <v>3203</v>
      </c>
      <c r="K10582" s="5"/>
    </row>
    <row r="10583">
      <c r="A10583" s="3" t="s">
        <v>9133</v>
      </c>
      <c r="B10583" s="3" t="s">
        <v>9133</v>
      </c>
      <c r="C10583" s="3" t="s">
        <v>9149</v>
      </c>
      <c r="D10583" s="4" t="str">
        <f t="shared" ref="D10583:D10586" si="1474">HYPERLINK("https://12go.asia/en/travel/Al-Rahba-Hotel-Transfer/Abu-Dhabi-Airport", "12Go Link")</f>
        <v>12Go Link</v>
      </c>
      <c r="E10583" s="3" t="s">
        <v>3265</v>
      </c>
      <c r="K10583" s="5"/>
    </row>
    <row r="10584">
      <c r="A10584" s="3" t="s">
        <v>9133</v>
      </c>
      <c r="B10584" s="3" t="s">
        <v>9133</v>
      </c>
      <c r="C10584" s="3" t="s">
        <v>9149</v>
      </c>
      <c r="D10584" s="4" t="str">
        <f t="shared" si="1474"/>
        <v>12Go Link</v>
      </c>
      <c r="E10584" s="3" t="s">
        <v>3196</v>
      </c>
      <c r="K10584" s="5"/>
    </row>
    <row r="10585">
      <c r="A10585" s="3" t="s">
        <v>9133</v>
      </c>
      <c r="B10585" s="3" t="s">
        <v>9133</v>
      </c>
      <c r="C10585" s="3" t="s">
        <v>9149</v>
      </c>
      <c r="D10585" s="4" t="str">
        <f t="shared" si="1474"/>
        <v>12Go Link</v>
      </c>
      <c r="E10585" s="3" t="s">
        <v>226</v>
      </c>
      <c r="K10585" s="5"/>
    </row>
    <row r="10586">
      <c r="A10586" s="3" t="s">
        <v>9133</v>
      </c>
      <c r="B10586" s="3" t="s">
        <v>9133</v>
      </c>
      <c r="C10586" s="3" t="s">
        <v>9149</v>
      </c>
      <c r="D10586" s="4" t="str">
        <f t="shared" si="1474"/>
        <v>12Go Link</v>
      </c>
      <c r="E10586" s="3" t="s">
        <v>3203</v>
      </c>
      <c r="K10586" s="5"/>
    </row>
    <row r="10587">
      <c r="A10587" s="3" t="s">
        <v>9133</v>
      </c>
      <c r="B10587" s="3" t="s">
        <v>9133</v>
      </c>
      <c r="C10587" s="3" t="s">
        <v>9150</v>
      </c>
      <c r="D10587" s="4" t="str">
        <f t="shared" ref="D10587:D10590" si="1475">HYPERLINK("https://12go.asia/en/travel/Saadiyat-Island-Hotel-Transfer/Abu-Dhabi-Airport", "12Go Link")</f>
        <v>12Go Link</v>
      </c>
      <c r="E10587" s="3" t="s">
        <v>3265</v>
      </c>
      <c r="K10587" s="5"/>
    </row>
    <row r="10588">
      <c r="A10588" s="3" t="s">
        <v>9133</v>
      </c>
      <c r="B10588" s="3" t="s">
        <v>9133</v>
      </c>
      <c r="C10588" s="3" t="s">
        <v>9150</v>
      </c>
      <c r="D10588" s="4" t="str">
        <f t="shared" si="1475"/>
        <v>12Go Link</v>
      </c>
      <c r="E10588" s="3" t="s">
        <v>3196</v>
      </c>
      <c r="K10588" s="5"/>
    </row>
    <row r="10589">
      <c r="A10589" s="3" t="s">
        <v>9133</v>
      </c>
      <c r="B10589" s="3" t="s">
        <v>9133</v>
      </c>
      <c r="C10589" s="3" t="s">
        <v>9150</v>
      </c>
      <c r="D10589" s="4" t="str">
        <f t="shared" si="1475"/>
        <v>12Go Link</v>
      </c>
      <c r="E10589" s="3" t="s">
        <v>226</v>
      </c>
      <c r="K10589" s="5"/>
    </row>
    <row r="10590">
      <c r="A10590" s="3" t="s">
        <v>9133</v>
      </c>
      <c r="B10590" s="3" t="s">
        <v>9133</v>
      </c>
      <c r="C10590" s="3" t="s">
        <v>9150</v>
      </c>
      <c r="D10590" s="4" t="str">
        <f t="shared" si="1475"/>
        <v>12Go Link</v>
      </c>
      <c r="E10590" s="3" t="s">
        <v>3203</v>
      </c>
      <c r="K10590" s="5"/>
    </row>
    <row r="10591">
      <c r="A10591" s="3" t="s">
        <v>9133</v>
      </c>
      <c r="B10591" s="3" t="s">
        <v>9133</v>
      </c>
      <c r="C10591" s="3" t="s">
        <v>9151</v>
      </c>
      <c r="D10591" s="4" t="str">
        <f t="shared" ref="D10591:D10594" si="1476">HYPERLINK("https://12go.asia/en/travel/Yas-Island-Hotel-Transfer/Abu-Dhabi-Airport", "12Go Link")</f>
        <v>12Go Link</v>
      </c>
      <c r="E10591" s="3" t="s">
        <v>3265</v>
      </c>
      <c r="K10591" s="5"/>
    </row>
    <row r="10592">
      <c r="A10592" s="3" t="s">
        <v>9133</v>
      </c>
      <c r="B10592" s="3" t="s">
        <v>9133</v>
      </c>
      <c r="C10592" s="3" t="s">
        <v>9151</v>
      </c>
      <c r="D10592" s="4" t="str">
        <f t="shared" si="1476"/>
        <v>12Go Link</v>
      </c>
      <c r="E10592" s="3" t="s">
        <v>3196</v>
      </c>
      <c r="K10592" s="5"/>
    </row>
    <row r="10593">
      <c r="A10593" s="3" t="s">
        <v>9133</v>
      </c>
      <c r="B10593" s="3" t="s">
        <v>9133</v>
      </c>
      <c r="C10593" s="3" t="s">
        <v>9151</v>
      </c>
      <c r="D10593" s="4" t="str">
        <f t="shared" si="1476"/>
        <v>12Go Link</v>
      </c>
      <c r="E10593" s="3" t="s">
        <v>226</v>
      </c>
      <c r="K10593" s="5"/>
    </row>
    <row r="10594">
      <c r="A10594" s="3" t="s">
        <v>9133</v>
      </c>
      <c r="B10594" s="3" t="s">
        <v>9133</v>
      </c>
      <c r="C10594" s="3" t="s">
        <v>9151</v>
      </c>
      <c r="D10594" s="4" t="str">
        <f t="shared" si="1476"/>
        <v>12Go Link</v>
      </c>
      <c r="E10594" s="3" t="s">
        <v>3203</v>
      </c>
      <c r="K10594" s="5"/>
    </row>
    <row r="10595">
      <c r="A10595" s="3" t="s">
        <v>9133</v>
      </c>
      <c r="B10595" s="3" t="s">
        <v>5932</v>
      </c>
      <c r="C10595" s="3" t="s">
        <v>9152</v>
      </c>
      <c r="D10595" s="4" t="str">
        <f t="shared" ref="D10595:D10598" si="1477">HYPERLINK("https://12go.asia/en/travel/Abu-Dhabi-Airport/Al-Barsha-Hotel-Transfer", "12Go Link")</f>
        <v>12Go Link</v>
      </c>
      <c r="E10595" s="3" t="s">
        <v>3265</v>
      </c>
      <c r="K10595" s="5"/>
    </row>
    <row r="10596">
      <c r="A10596" s="3" t="s">
        <v>9133</v>
      </c>
      <c r="B10596" s="3" t="s">
        <v>5932</v>
      </c>
      <c r="C10596" s="3" t="s">
        <v>9152</v>
      </c>
      <c r="D10596" s="4" t="str">
        <f t="shared" si="1477"/>
        <v>12Go Link</v>
      </c>
      <c r="E10596" s="3" t="s">
        <v>3196</v>
      </c>
      <c r="K10596" s="5"/>
    </row>
    <row r="10597">
      <c r="A10597" s="3" t="s">
        <v>9133</v>
      </c>
      <c r="B10597" s="3" t="s">
        <v>5932</v>
      </c>
      <c r="C10597" s="3" t="s">
        <v>9152</v>
      </c>
      <c r="D10597" s="4" t="str">
        <f t="shared" si="1477"/>
        <v>12Go Link</v>
      </c>
      <c r="E10597" s="3" t="s">
        <v>226</v>
      </c>
      <c r="K10597" s="5"/>
    </row>
    <row r="10598">
      <c r="A10598" s="3" t="s">
        <v>9133</v>
      </c>
      <c r="B10598" s="3" t="s">
        <v>5932</v>
      </c>
      <c r="C10598" s="3" t="s">
        <v>9152</v>
      </c>
      <c r="D10598" s="4" t="str">
        <f t="shared" si="1477"/>
        <v>12Go Link</v>
      </c>
      <c r="E10598" s="3" t="s">
        <v>3203</v>
      </c>
      <c r="K10598" s="5"/>
    </row>
    <row r="10599">
      <c r="A10599" s="3" t="s">
        <v>9133</v>
      </c>
      <c r="B10599" s="3" t="s">
        <v>5932</v>
      </c>
      <c r="C10599" s="3" t="s">
        <v>9153</v>
      </c>
      <c r="D10599" s="4" t="str">
        <f t="shared" ref="D10599:D10602" si="1478">HYPERLINK("https://12go.asia/en/travel/Abu-Dhabi-Airport/Al-Maktoum-International-Airport", "12Go Link")</f>
        <v>12Go Link</v>
      </c>
      <c r="E10599" s="3" t="s">
        <v>3265</v>
      </c>
      <c r="K10599" s="5"/>
    </row>
    <row r="10600">
      <c r="A10600" s="3" t="s">
        <v>9133</v>
      </c>
      <c r="B10600" s="3" t="s">
        <v>5932</v>
      </c>
      <c r="C10600" s="3" t="s">
        <v>9153</v>
      </c>
      <c r="D10600" s="4" t="str">
        <f t="shared" si="1478"/>
        <v>12Go Link</v>
      </c>
      <c r="E10600" s="3" t="s">
        <v>3196</v>
      </c>
      <c r="K10600" s="5"/>
    </row>
    <row r="10601">
      <c r="A10601" s="3" t="s">
        <v>9133</v>
      </c>
      <c r="B10601" s="3" t="s">
        <v>5932</v>
      </c>
      <c r="C10601" s="3" t="s">
        <v>9153</v>
      </c>
      <c r="D10601" s="4" t="str">
        <f t="shared" si="1478"/>
        <v>12Go Link</v>
      </c>
      <c r="E10601" s="3" t="s">
        <v>226</v>
      </c>
      <c r="K10601" s="5"/>
    </row>
    <row r="10602">
      <c r="A10602" s="3" t="s">
        <v>9133</v>
      </c>
      <c r="B10602" s="3" t="s">
        <v>5932</v>
      </c>
      <c r="C10602" s="3" t="s">
        <v>9153</v>
      </c>
      <c r="D10602" s="4" t="str">
        <f t="shared" si="1478"/>
        <v>12Go Link</v>
      </c>
      <c r="E10602" s="3" t="s">
        <v>3203</v>
      </c>
      <c r="K10602" s="5"/>
    </row>
    <row r="10603">
      <c r="A10603" s="3" t="s">
        <v>9133</v>
      </c>
      <c r="B10603" s="3" t="s">
        <v>5932</v>
      </c>
      <c r="C10603" s="3" t="s">
        <v>9154</v>
      </c>
      <c r="D10603" s="4" t="str">
        <f t="shared" ref="D10603:D10606" si="1479">HYPERLINK("https://12go.asia/en/travel/Abu-Dhabi-Airport/Arabian-Ranches-Hotel-Transfer", "12Go Link")</f>
        <v>12Go Link</v>
      </c>
      <c r="E10603" s="3" t="s">
        <v>3265</v>
      </c>
      <c r="K10603" s="5"/>
    </row>
    <row r="10604">
      <c r="A10604" s="3" t="s">
        <v>9133</v>
      </c>
      <c r="B10604" s="3" t="s">
        <v>5932</v>
      </c>
      <c r="C10604" s="3" t="s">
        <v>9154</v>
      </c>
      <c r="D10604" s="4" t="str">
        <f t="shared" si="1479"/>
        <v>12Go Link</v>
      </c>
      <c r="E10604" s="3" t="s">
        <v>3196</v>
      </c>
      <c r="K10604" s="5"/>
    </row>
    <row r="10605">
      <c r="A10605" s="3" t="s">
        <v>9133</v>
      </c>
      <c r="B10605" s="3" t="s">
        <v>5932</v>
      </c>
      <c r="C10605" s="3" t="s">
        <v>9154</v>
      </c>
      <c r="D10605" s="4" t="str">
        <f t="shared" si="1479"/>
        <v>12Go Link</v>
      </c>
      <c r="E10605" s="3" t="s">
        <v>226</v>
      </c>
      <c r="K10605" s="5"/>
    </row>
    <row r="10606">
      <c r="A10606" s="3" t="s">
        <v>9133</v>
      </c>
      <c r="B10606" s="3" t="s">
        <v>5932</v>
      </c>
      <c r="C10606" s="3" t="s">
        <v>9154</v>
      </c>
      <c r="D10606" s="4" t="str">
        <f t="shared" si="1479"/>
        <v>12Go Link</v>
      </c>
      <c r="E10606" s="3" t="s">
        <v>3203</v>
      </c>
      <c r="K10606" s="5"/>
    </row>
    <row r="10607">
      <c r="A10607" s="3" t="s">
        <v>9133</v>
      </c>
      <c r="B10607" s="3" t="s">
        <v>5932</v>
      </c>
      <c r="C10607" s="3" t="s">
        <v>9155</v>
      </c>
      <c r="D10607" s="4" t="str">
        <f t="shared" ref="D10607:D10610" si="1480">HYPERLINK("https://12go.asia/en/travel/Abu-Dhabi-Airport/Bur-Dubai-Hotel-Transfer", "12Go Link")</f>
        <v>12Go Link</v>
      </c>
      <c r="E10607" s="3" t="s">
        <v>3265</v>
      </c>
      <c r="K10607" s="5"/>
    </row>
    <row r="10608">
      <c r="A10608" s="3" t="s">
        <v>9133</v>
      </c>
      <c r="B10608" s="3" t="s">
        <v>5932</v>
      </c>
      <c r="C10608" s="3" t="s">
        <v>9155</v>
      </c>
      <c r="D10608" s="4" t="str">
        <f t="shared" si="1480"/>
        <v>12Go Link</v>
      </c>
      <c r="E10608" s="3" t="s">
        <v>3196</v>
      </c>
      <c r="K10608" s="5"/>
    </row>
    <row r="10609">
      <c r="A10609" s="3" t="s">
        <v>9133</v>
      </c>
      <c r="B10609" s="3" t="s">
        <v>5932</v>
      </c>
      <c r="C10609" s="3" t="s">
        <v>9155</v>
      </c>
      <c r="D10609" s="4" t="str">
        <f t="shared" si="1480"/>
        <v>12Go Link</v>
      </c>
      <c r="E10609" s="3" t="s">
        <v>226</v>
      </c>
      <c r="K10609" s="5"/>
    </row>
    <row r="10610">
      <c r="A10610" s="3" t="s">
        <v>9133</v>
      </c>
      <c r="B10610" s="3" t="s">
        <v>5932</v>
      </c>
      <c r="C10610" s="3" t="s">
        <v>9155</v>
      </c>
      <c r="D10610" s="4" t="str">
        <f t="shared" si="1480"/>
        <v>12Go Link</v>
      </c>
      <c r="E10610" s="3" t="s">
        <v>3203</v>
      </c>
      <c r="K10610" s="5"/>
    </row>
    <row r="10611">
      <c r="A10611" s="3" t="s">
        <v>9133</v>
      </c>
      <c r="B10611" s="3" t="s">
        <v>5932</v>
      </c>
      <c r="C10611" s="3" t="s">
        <v>9156</v>
      </c>
      <c r="D10611" s="4" t="str">
        <f t="shared" ref="D10611:D10614" si="1481">HYPERLINK("https://12go.asia/en/travel/Abu-Dhabi-Airport/Deira-Hotel-Transfer", "12Go Link")</f>
        <v>12Go Link</v>
      </c>
      <c r="E10611" s="3" t="s">
        <v>3265</v>
      </c>
      <c r="K10611" s="5"/>
    </row>
    <row r="10612">
      <c r="A10612" s="3" t="s">
        <v>9133</v>
      </c>
      <c r="B10612" s="3" t="s">
        <v>5932</v>
      </c>
      <c r="C10612" s="3" t="s">
        <v>9156</v>
      </c>
      <c r="D10612" s="4" t="str">
        <f t="shared" si="1481"/>
        <v>12Go Link</v>
      </c>
      <c r="E10612" s="3" t="s">
        <v>3196</v>
      </c>
      <c r="K10612" s="5"/>
    </row>
    <row r="10613">
      <c r="A10613" s="3" t="s">
        <v>9133</v>
      </c>
      <c r="B10613" s="3" t="s">
        <v>5932</v>
      </c>
      <c r="C10613" s="3" t="s">
        <v>9156</v>
      </c>
      <c r="D10613" s="4" t="str">
        <f t="shared" si="1481"/>
        <v>12Go Link</v>
      </c>
      <c r="E10613" s="3" t="s">
        <v>226</v>
      </c>
      <c r="K10613" s="5"/>
    </row>
    <row r="10614">
      <c r="A10614" s="3" t="s">
        <v>9133</v>
      </c>
      <c r="B10614" s="3" t="s">
        <v>5932</v>
      </c>
      <c r="C10614" s="3" t="s">
        <v>9156</v>
      </c>
      <c r="D10614" s="4" t="str">
        <f t="shared" si="1481"/>
        <v>12Go Link</v>
      </c>
      <c r="E10614" s="3" t="s">
        <v>3203</v>
      </c>
      <c r="K10614" s="5"/>
    </row>
    <row r="10615">
      <c r="A10615" s="3" t="s">
        <v>9133</v>
      </c>
      <c r="B10615" s="3" t="s">
        <v>5932</v>
      </c>
      <c r="C10615" s="3" t="s">
        <v>9157</v>
      </c>
      <c r="D10615" s="4" t="str">
        <f t="shared" ref="D10615:D10618" si="1482">HYPERLINK("https://12go.asia/en/travel/Abu-Dhabi-Airport/Dubai-Harbour-Cruise-Terminal", "12Go Link")</f>
        <v>12Go Link</v>
      </c>
      <c r="E10615" s="3" t="s">
        <v>3265</v>
      </c>
      <c r="K10615" s="5"/>
    </row>
    <row r="10616">
      <c r="A10616" s="3" t="s">
        <v>9133</v>
      </c>
      <c r="B10616" s="3" t="s">
        <v>5932</v>
      </c>
      <c r="C10616" s="3" t="s">
        <v>9157</v>
      </c>
      <c r="D10616" s="4" t="str">
        <f t="shared" si="1482"/>
        <v>12Go Link</v>
      </c>
      <c r="E10616" s="3" t="s">
        <v>3196</v>
      </c>
      <c r="K10616" s="5"/>
    </row>
    <row r="10617">
      <c r="A10617" s="3" t="s">
        <v>9133</v>
      </c>
      <c r="B10617" s="3" t="s">
        <v>5932</v>
      </c>
      <c r="C10617" s="3" t="s">
        <v>9157</v>
      </c>
      <c r="D10617" s="4" t="str">
        <f t="shared" si="1482"/>
        <v>12Go Link</v>
      </c>
      <c r="E10617" s="3" t="s">
        <v>226</v>
      </c>
      <c r="K10617" s="5"/>
    </row>
    <row r="10618">
      <c r="A10618" s="3" t="s">
        <v>9133</v>
      </c>
      <c r="B10618" s="3" t="s">
        <v>5932</v>
      </c>
      <c r="C10618" s="3" t="s">
        <v>9157</v>
      </c>
      <c r="D10618" s="4" t="str">
        <f t="shared" si="1482"/>
        <v>12Go Link</v>
      </c>
      <c r="E10618" s="3" t="s">
        <v>3203</v>
      </c>
      <c r="K10618" s="5"/>
    </row>
    <row r="10619">
      <c r="A10619" s="3" t="s">
        <v>9133</v>
      </c>
      <c r="B10619" s="3" t="s">
        <v>5932</v>
      </c>
      <c r="C10619" s="3" t="s">
        <v>9158</v>
      </c>
      <c r="D10619" s="4" t="str">
        <f t="shared" ref="D10619:D10622" si="1483">HYPERLINK("https://12go.asia/en/travel/Abu-Dhabi-Airport/Dubai-Hotel-Transfer", "12Go Link")</f>
        <v>12Go Link</v>
      </c>
      <c r="E10619" s="3" t="s">
        <v>3265</v>
      </c>
      <c r="K10619" s="5"/>
    </row>
    <row r="10620">
      <c r="A10620" s="3" t="s">
        <v>9133</v>
      </c>
      <c r="B10620" s="3" t="s">
        <v>5932</v>
      </c>
      <c r="C10620" s="3" t="s">
        <v>9158</v>
      </c>
      <c r="D10620" s="4" t="str">
        <f t="shared" si="1483"/>
        <v>12Go Link</v>
      </c>
      <c r="E10620" s="3" t="s">
        <v>3196</v>
      </c>
      <c r="K10620" s="5"/>
    </row>
    <row r="10621">
      <c r="A10621" s="3" t="s">
        <v>9133</v>
      </c>
      <c r="B10621" s="3" t="s">
        <v>5932</v>
      </c>
      <c r="C10621" s="3" t="s">
        <v>9158</v>
      </c>
      <c r="D10621" s="4" t="str">
        <f t="shared" si="1483"/>
        <v>12Go Link</v>
      </c>
      <c r="E10621" s="3" t="s">
        <v>226</v>
      </c>
      <c r="K10621" s="5"/>
    </row>
    <row r="10622">
      <c r="A10622" s="3" t="s">
        <v>9133</v>
      </c>
      <c r="B10622" s="3" t="s">
        <v>5932</v>
      </c>
      <c r="C10622" s="3" t="s">
        <v>9158</v>
      </c>
      <c r="D10622" s="4" t="str">
        <f t="shared" si="1483"/>
        <v>12Go Link</v>
      </c>
      <c r="E10622" s="3" t="s">
        <v>3203</v>
      </c>
      <c r="K10622" s="5"/>
    </row>
    <row r="10623">
      <c r="A10623" s="3" t="s">
        <v>9133</v>
      </c>
      <c r="B10623" s="3" t="s">
        <v>5932</v>
      </c>
      <c r="C10623" s="3" t="s">
        <v>9159</v>
      </c>
      <c r="D10623" s="4" t="str">
        <f t="shared" ref="D10623:D10626" si="1484">HYPERLINK("https://12go.asia/en/travel/Abu-Dhabi-Airport/Dubai-International-Airport", "12Go Link")</f>
        <v>12Go Link</v>
      </c>
      <c r="E10623" s="3" t="s">
        <v>3265</v>
      </c>
      <c r="K10623" s="5"/>
    </row>
    <row r="10624">
      <c r="A10624" s="3" t="s">
        <v>9133</v>
      </c>
      <c r="B10624" s="3" t="s">
        <v>5932</v>
      </c>
      <c r="C10624" s="3" t="s">
        <v>9159</v>
      </c>
      <c r="D10624" s="4" t="str">
        <f t="shared" si="1484"/>
        <v>12Go Link</v>
      </c>
      <c r="E10624" s="3" t="s">
        <v>3196</v>
      </c>
      <c r="K10624" s="5"/>
    </row>
    <row r="10625">
      <c r="A10625" s="3" t="s">
        <v>9133</v>
      </c>
      <c r="B10625" s="3" t="s">
        <v>5932</v>
      </c>
      <c r="C10625" s="3" t="s">
        <v>9159</v>
      </c>
      <c r="D10625" s="4" t="str">
        <f t="shared" si="1484"/>
        <v>12Go Link</v>
      </c>
      <c r="E10625" s="3" t="s">
        <v>226</v>
      </c>
      <c r="K10625" s="5"/>
    </row>
    <row r="10626">
      <c r="A10626" s="3" t="s">
        <v>9133</v>
      </c>
      <c r="B10626" s="3" t="s">
        <v>5932</v>
      </c>
      <c r="C10626" s="3" t="s">
        <v>9159</v>
      </c>
      <c r="D10626" s="4" t="str">
        <f t="shared" si="1484"/>
        <v>12Go Link</v>
      </c>
      <c r="E10626" s="3" t="s">
        <v>3203</v>
      </c>
      <c r="K10626" s="5"/>
    </row>
    <row r="10627">
      <c r="A10627" s="3" t="s">
        <v>9133</v>
      </c>
      <c r="B10627" s="3" t="s">
        <v>5932</v>
      </c>
      <c r="C10627" s="3" t="s">
        <v>9160</v>
      </c>
      <c r="D10627" s="4" t="str">
        <f t="shared" ref="D10627:D10630" si="1485">HYPERLINK("https://12go.asia/en/travel/Abu-Dhabi-Airport/Dubai-Marina-Transfer", "12Go Link")</f>
        <v>12Go Link</v>
      </c>
      <c r="E10627" s="3" t="s">
        <v>3265</v>
      </c>
      <c r="K10627" s="5"/>
    </row>
    <row r="10628">
      <c r="A10628" s="3" t="s">
        <v>9133</v>
      </c>
      <c r="B10628" s="3" t="s">
        <v>5932</v>
      </c>
      <c r="C10628" s="3" t="s">
        <v>9160</v>
      </c>
      <c r="D10628" s="4" t="str">
        <f t="shared" si="1485"/>
        <v>12Go Link</v>
      </c>
      <c r="E10628" s="3" t="s">
        <v>3196</v>
      </c>
      <c r="K10628" s="5"/>
    </row>
    <row r="10629">
      <c r="A10629" s="3" t="s">
        <v>9133</v>
      </c>
      <c r="B10629" s="3" t="s">
        <v>5932</v>
      </c>
      <c r="C10629" s="3" t="s">
        <v>9160</v>
      </c>
      <c r="D10629" s="4" t="str">
        <f t="shared" si="1485"/>
        <v>12Go Link</v>
      </c>
      <c r="E10629" s="3" t="s">
        <v>226</v>
      </c>
      <c r="K10629" s="5"/>
    </row>
    <row r="10630">
      <c r="A10630" s="3" t="s">
        <v>9133</v>
      </c>
      <c r="B10630" s="3" t="s">
        <v>5932</v>
      </c>
      <c r="C10630" s="3" t="s">
        <v>9160</v>
      </c>
      <c r="D10630" s="4" t="str">
        <f t="shared" si="1485"/>
        <v>12Go Link</v>
      </c>
      <c r="E10630" s="3" t="s">
        <v>3203</v>
      </c>
      <c r="K10630" s="5"/>
    </row>
    <row r="10631">
      <c r="A10631" s="3" t="s">
        <v>9133</v>
      </c>
      <c r="B10631" s="3" t="s">
        <v>5932</v>
      </c>
      <c r="C10631" s="3" t="s">
        <v>9161</v>
      </c>
      <c r="D10631" s="4" t="str">
        <f t="shared" ref="D10631:D10634" si="1486">HYPERLINK("https://12go.asia/en/travel/Abu-Dhabi-Airport/Jebel-Ali-Hotel-Transfer", "12Go Link")</f>
        <v>12Go Link</v>
      </c>
      <c r="E10631" s="3" t="s">
        <v>3265</v>
      </c>
      <c r="K10631" s="5"/>
    </row>
    <row r="10632">
      <c r="A10632" s="3" t="s">
        <v>9133</v>
      </c>
      <c r="B10632" s="3" t="s">
        <v>5932</v>
      </c>
      <c r="C10632" s="3" t="s">
        <v>9161</v>
      </c>
      <c r="D10632" s="4" t="str">
        <f t="shared" si="1486"/>
        <v>12Go Link</v>
      </c>
      <c r="E10632" s="3" t="s">
        <v>3196</v>
      </c>
      <c r="K10632" s="5"/>
    </row>
    <row r="10633">
      <c r="A10633" s="3" t="s">
        <v>9133</v>
      </c>
      <c r="B10633" s="3" t="s">
        <v>5932</v>
      </c>
      <c r="C10633" s="3" t="s">
        <v>9161</v>
      </c>
      <c r="D10633" s="4" t="str">
        <f t="shared" si="1486"/>
        <v>12Go Link</v>
      </c>
      <c r="E10633" s="3" t="s">
        <v>226</v>
      </c>
      <c r="K10633" s="5"/>
    </row>
    <row r="10634">
      <c r="A10634" s="3" t="s">
        <v>9133</v>
      </c>
      <c r="B10634" s="3" t="s">
        <v>5932</v>
      </c>
      <c r="C10634" s="3" t="s">
        <v>9161</v>
      </c>
      <c r="D10634" s="4" t="str">
        <f t="shared" si="1486"/>
        <v>12Go Link</v>
      </c>
      <c r="E10634" s="3" t="s">
        <v>3203</v>
      </c>
      <c r="K10634" s="5"/>
    </row>
    <row r="10635">
      <c r="A10635" s="3" t="s">
        <v>9133</v>
      </c>
      <c r="B10635" s="3" t="s">
        <v>5932</v>
      </c>
      <c r="C10635" s="3" t="s">
        <v>9162</v>
      </c>
      <c r="D10635" s="4" t="str">
        <f t="shared" ref="D10635:D10638" si="1487">HYPERLINK("https://12go.asia/en/travel/Abu-Dhabi-Airport/Jumeirah-Beach-Transfer", "12Go Link")</f>
        <v>12Go Link</v>
      </c>
      <c r="E10635" s="3" t="s">
        <v>3265</v>
      </c>
      <c r="K10635" s="5"/>
    </row>
    <row r="10636">
      <c r="A10636" s="3" t="s">
        <v>9133</v>
      </c>
      <c r="B10636" s="3" t="s">
        <v>5932</v>
      </c>
      <c r="C10636" s="3" t="s">
        <v>9162</v>
      </c>
      <c r="D10636" s="4" t="str">
        <f t="shared" si="1487"/>
        <v>12Go Link</v>
      </c>
      <c r="E10636" s="3" t="s">
        <v>3196</v>
      </c>
      <c r="K10636" s="5"/>
    </row>
    <row r="10637">
      <c r="A10637" s="3" t="s">
        <v>9133</v>
      </c>
      <c r="B10637" s="3" t="s">
        <v>5932</v>
      </c>
      <c r="C10637" s="3" t="s">
        <v>9162</v>
      </c>
      <c r="D10637" s="4" t="str">
        <f t="shared" si="1487"/>
        <v>12Go Link</v>
      </c>
      <c r="E10637" s="3" t="s">
        <v>226</v>
      </c>
      <c r="K10637" s="5"/>
    </row>
    <row r="10638">
      <c r="A10638" s="3" t="s">
        <v>9133</v>
      </c>
      <c r="B10638" s="3" t="s">
        <v>5932</v>
      </c>
      <c r="C10638" s="3" t="s">
        <v>9162</v>
      </c>
      <c r="D10638" s="4" t="str">
        <f t="shared" si="1487"/>
        <v>12Go Link</v>
      </c>
      <c r="E10638" s="3" t="s">
        <v>3203</v>
      </c>
      <c r="K10638" s="5"/>
    </row>
    <row r="10639">
      <c r="A10639" s="3" t="s">
        <v>9133</v>
      </c>
      <c r="B10639" s="3" t="s">
        <v>5932</v>
      </c>
      <c r="C10639" s="3" t="s">
        <v>9163</v>
      </c>
      <c r="D10639" s="4" t="str">
        <f t="shared" ref="D10639:D10642" si="1488">HYPERLINK("https://12go.asia/en/travel/Abu-Dhabi-Airport/Nad-Al-Sheba-Hotel-Transfer", "12Go Link")</f>
        <v>12Go Link</v>
      </c>
      <c r="E10639" s="3" t="s">
        <v>3265</v>
      </c>
      <c r="K10639" s="5"/>
    </row>
    <row r="10640">
      <c r="A10640" s="3" t="s">
        <v>9133</v>
      </c>
      <c r="B10640" s="3" t="s">
        <v>5932</v>
      </c>
      <c r="C10640" s="3" t="s">
        <v>9163</v>
      </c>
      <c r="D10640" s="4" t="str">
        <f t="shared" si="1488"/>
        <v>12Go Link</v>
      </c>
      <c r="E10640" s="3" t="s">
        <v>3196</v>
      </c>
      <c r="K10640" s="5"/>
    </row>
    <row r="10641">
      <c r="A10641" s="3" t="s">
        <v>9133</v>
      </c>
      <c r="B10641" s="3" t="s">
        <v>5932</v>
      </c>
      <c r="C10641" s="3" t="s">
        <v>9163</v>
      </c>
      <c r="D10641" s="4" t="str">
        <f t="shared" si="1488"/>
        <v>12Go Link</v>
      </c>
      <c r="E10641" s="3" t="s">
        <v>226</v>
      </c>
      <c r="K10641" s="5"/>
    </row>
    <row r="10642">
      <c r="A10642" s="3" t="s">
        <v>9133</v>
      </c>
      <c r="B10642" s="3" t="s">
        <v>5932</v>
      </c>
      <c r="C10642" s="3" t="s">
        <v>9163</v>
      </c>
      <c r="D10642" s="4" t="str">
        <f t="shared" si="1488"/>
        <v>12Go Link</v>
      </c>
      <c r="E10642" s="3" t="s">
        <v>3203</v>
      </c>
      <c r="K10642" s="5"/>
    </row>
    <row r="10643">
      <c r="A10643" s="3" t="s">
        <v>9133</v>
      </c>
      <c r="B10643" s="3" t="s">
        <v>5932</v>
      </c>
      <c r="C10643" s="3" t="s">
        <v>9164</v>
      </c>
      <c r="D10643" s="4" t="str">
        <f t="shared" ref="D10643:D10646" si="1489">HYPERLINK("https://12go.asia/en/travel/Abu-Dhabi-Airport/The-Palm-Jumeirah-Hotel-Transfer", "12Go Link")</f>
        <v>12Go Link</v>
      </c>
      <c r="E10643" s="3" t="s">
        <v>3265</v>
      </c>
      <c r="K10643" s="5"/>
    </row>
    <row r="10644">
      <c r="A10644" s="3" t="s">
        <v>9133</v>
      </c>
      <c r="B10644" s="3" t="s">
        <v>5932</v>
      </c>
      <c r="C10644" s="3" t="s">
        <v>9164</v>
      </c>
      <c r="D10644" s="4" t="str">
        <f t="shared" si="1489"/>
        <v>12Go Link</v>
      </c>
      <c r="E10644" s="3" t="s">
        <v>3196</v>
      </c>
      <c r="K10644" s="5"/>
    </row>
    <row r="10645">
      <c r="A10645" s="3" t="s">
        <v>9133</v>
      </c>
      <c r="B10645" s="3" t="s">
        <v>5932</v>
      </c>
      <c r="C10645" s="3" t="s">
        <v>9164</v>
      </c>
      <c r="D10645" s="4" t="str">
        <f t="shared" si="1489"/>
        <v>12Go Link</v>
      </c>
      <c r="E10645" s="3" t="s">
        <v>226</v>
      </c>
      <c r="K10645" s="5"/>
    </row>
    <row r="10646">
      <c r="A10646" s="3" t="s">
        <v>9133</v>
      </c>
      <c r="B10646" s="3" t="s">
        <v>5932</v>
      </c>
      <c r="C10646" s="3" t="s">
        <v>9164</v>
      </c>
      <c r="D10646" s="4" t="str">
        <f t="shared" si="1489"/>
        <v>12Go Link</v>
      </c>
      <c r="E10646" s="3" t="s">
        <v>3203</v>
      </c>
      <c r="K10646" s="5"/>
    </row>
    <row r="10647">
      <c r="A10647" s="3" t="s">
        <v>9133</v>
      </c>
      <c r="B10647" s="3" t="s">
        <v>5932</v>
      </c>
      <c r="C10647" s="3" t="s">
        <v>9165</v>
      </c>
      <c r="D10647" s="4" t="str">
        <f>HYPERLINK("https://12go.asia/en/travel/Abu-Dhabi-Hotel-Transfer/Dubai-International-Airport", "12Go Link")</f>
        <v>12Go Link</v>
      </c>
      <c r="E10647" s="3" t="s">
        <v>3481</v>
      </c>
      <c r="K10647" s="5"/>
    </row>
    <row r="10648">
      <c r="A10648" s="3" t="s">
        <v>9166</v>
      </c>
      <c r="B10648" s="3" t="s">
        <v>5932</v>
      </c>
      <c r="C10648" s="3" t="s">
        <v>9167</v>
      </c>
      <c r="D10648" s="4" t="str">
        <f t="shared" ref="D10648:D10651" si="1490">HYPERLINK("https://12go.asia/en/travel/Ajman-Hotel-Transfer/Dubai-International-Airport", "12Go Link")</f>
        <v>12Go Link</v>
      </c>
      <c r="E10648" s="3" t="s">
        <v>3265</v>
      </c>
      <c r="K10648" s="5"/>
    </row>
    <row r="10649">
      <c r="A10649" s="3" t="s">
        <v>9166</v>
      </c>
      <c r="B10649" s="3" t="s">
        <v>5932</v>
      </c>
      <c r="C10649" s="3" t="s">
        <v>9167</v>
      </c>
      <c r="D10649" s="4" t="str">
        <f t="shared" si="1490"/>
        <v>12Go Link</v>
      </c>
      <c r="E10649" s="3" t="s">
        <v>3196</v>
      </c>
      <c r="K10649" s="5"/>
    </row>
    <row r="10650">
      <c r="A10650" s="3" t="s">
        <v>9166</v>
      </c>
      <c r="B10650" s="3" t="s">
        <v>5932</v>
      </c>
      <c r="C10650" s="3" t="s">
        <v>9167</v>
      </c>
      <c r="D10650" s="4" t="str">
        <f t="shared" si="1490"/>
        <v>12Go Link</v>
      </c>
      <c r="E10650" s="3" t="s">
        <v>226</v>
      </c>
      <c r="K10650" s="5"/>
    </row>
    <row r="10651">
      <c r="A10651" s="3" t="s">
        <v>9166</v>
      </c>
      <c r="B10651" s="3" t="s">
        <v>5932</v>
      </c>
      <c r="C10651" s="3" t="s">
        <v>9167</v>
      </c>
      <c r="D10651" s="4" t="str">
        <f t="shared" si="1490"/>
        <v>12Go Link</v>
      </c>
      <c r="E10651" s="3" t="s">
        <v>3203</v>
      </c>
      <c r="K10651" s="5"/>
    </row>
    <row r="10652">
      <c r="A10652" s="3" t="s">
        <v>9166</v>
      </c>
      <c r="B10652" s="3" t="s">
        <v>5932</v>
      </c>
      <c r="C10652" s="3" t="s">
        <v>9168</v>
      </c>
      <c r="D10652" s="4" t="str">
        <f t="shared" ref="D10652:D10654" si="1491">HYPERLINK("https://12go.asia/en/travel/Ajman-Hotel-Transfer/Dubai-Port", "12Go Link")</f>
        <v>12Go Link</v>
      </c>
      <c r="E10652" s="3" t="s">
        <v>3265</v>
      </c>
      <c r="K10652" s="5"/>
    </row>
    <row r="10653">
      <c r="A10653" s="3" t="s">
        <v>9166</v>
      </c>
      <c r="B10653" s="3" t="s">
        <v>5932</v>
      </c>
      <c r="C10653" s="3" t="s">
        <v>9168</v>
      </c>
      <c r="D10653" s="4" t="str">
        <f t="shared" si="1491"/>
        <v>12Go Link</v>
      </c>
      <c r="E10653" s="3" t="s">
        <v>3196</v>
      </c>
      <c r="K10653" s="5"/>
    </row>
    <row r="10654">
      <c r="A10654" s="3" t="s">
        <v>9166</v>
      </c>
      <c r="B10654" s="3" t="s">
        <v>5932</v>
      </c>
      <c r="C10654" s="3" t="s">
        <v>9168</v>
      </c>
      <c r="D10654" s="4" t="str">
        <f t="shared" si="1491"/>
        <v>12Go Link</v>
      </c>
      <c r="E10654" s="3" t="s">
        <v>3203</v>
      </c>
      <c r="K10654" s="5"/>
    </row>
    <row r="10655">
      <c r="A10655" s="3" t="s">
        <v>9169</v>
      </c>
      <c r="B10655" s="3" t="s">
        <v>5932</v>
      </c>
      <c r="C10655" s="3" t="s">
        <v>9170</v>
      </c>
      <c r="D10655" s="4" t="str">
        <f t="shared" ref="D10655:D10658" si="1492">HYPERLINK("https://12go.asia/en/travel/Al-Maha-Resort/Dubai-International-Airport", "12Go Link")</f>
        <v>12Go Link</v>
      </c>
      <c r="E10655" s="3" t="s">
        <v>3265</v>
      </c>
      <c r="K10655" s="5"/>
    </row>
    <row r="10656">
      <c r="A10656" s="3" t="s">
        <v>9169</v>
      </c>
      <c r="B10656" s="3" t="s">
        <v>5932</v>
      </c>
      <c r="C10656" s="3" t="s">
        <v>9170</v>
      </c>
      <c r="D10656" s="4" t="str">
        <f t="shared" si="1492"/>
        <v>12Go Link</v>
      </c>
      <c r="E10656" s="3" t="s">
        <v>3196</v>
      </c>
      <c r="K10656" s="5"/>
    </row>
    <row r="10657">
      <c r="A10657" s="3" t="s">
        <v>9169</v>
      </c>
      <c r="B10657" s="3" t="s">
        <v>5932</v>
      </c>
      <c r="C10657" s="3" t="s">
        <v>9170</v>
      </c>
      <c r="D10657" s="4" t="str">
        <f t="shared" si="1492"/>
        <v>12Go Link</v>
      </c>
      <c r="E10657" s="3" t="s">
        <v>226</v>
      </c>
      <c r="K10657" s="5"/>
    </row>
    <row r="10658">
      <c r="A10658" s="3" t="s">
        <v>9169</v>
      </c>
      <c r="B10658" s="3" t="s">
        <v>5932</v>
      </c>
      <c r="C10658" s="3" t="s">
        <v>9170</v>
      </c>
      <c r="D10658" s="4" t="str">
        <f t="shared" si="1492"/>
        <v>12Go Link</v>
      </c>
      <c r="E10658" s="3" t="s">
        <v>3203</v>
      </c>
      <c r="K10658" s="5"/>
    </row>
    <row r="10659">
      <c r="A10659" s="3" t="s">
        <v>9169</v>
      </c>
      <c r="B10659" s="3" t="s">
        <v>5932</v>
      </c>
      <c r="C10659" s="3" t="s">
        <v>9171</v>
      </c>
      <c r="D10659" s="4" t="str">
        <f t="shared" ref="D10659:D10661" si="1493">HYPERLINK("https://12go.asia/en/travel/Al-Maha-Resort/Dubai-Port", "12Go Link")</f>
        <v>12Go Link</v>
      </c>
      <c r="E10659" s="3" t="s">
        <v>3265</v>
      </c>
      <c r="K10659" s="5"/>
    </row>
    <row r="10660">
      <c r="A10660" s="3" t="s">
        <v>9169</v>
      </c>
      <c r="B10660" s="3" t="s">
        <v>5932</v>
      </c>
      <c r="C10660" s="3" t="s">
        <v>9171</v>
      </c>
      <c r="D10660" s="4" t="str">
        <f t="shared" si="1493"/>
        <v>12Go Link</v>
      </c>
      <c r="E10660" s="3" t="s">
        <v>3196</v>
      </c>
      <c r="K10660" s="5"/>
    </row>
    <row r="10661">
      <c r="A10661" s="3" t="s">
        <v>9169</v>
      </c>
      <c r="B10661" s="3" t="s">
        <v>5932</v>
      </c>
      <c r="C10661" s="3" t="s">
        <v>9171</v>
      </c>
      <c r="D10661" s="4" t="str">
        <f t="shared" si="1493"/>
        <v>12Go Link</v>
      </c>
      <c r="E10661" s="3" t="s">
        <v>3203</v>
      </c>
      <c r="K10661" s="5"/>
    </row>
    <row r="10662">
      <c r="A10662" s="3" t="s">
        <v>5932</v>
      </c>
      <c r="B10662" s="3" t="s">
        <v>9133</v>
      </c>
      <c r="C10662" s="3" t="s">
        <v>9172</v>
      </c>
      <c r="D10662" s="4" t="str">
        <f t="shared" ref="D10662:D10665" si="1494">HYPERLINK("https://12go.asia/en/travel/Al-Barsha-Hotel-Transfer/Abu-Dhabi-Airport", "12Go Link")</f>
        <v>12Go Link</v>
      </c>
      <c r="E10662" s="3" t="s">
        <v>3265</v>
      </c>
      <c r="K10662" s="5"/>
    </row>
    <row r="10663">
      <c r="A10663" s="3" t="s">
        <v>5932</v>
      </c>
      <c r="B10663" s="3" t="s">
        <v>9133</v>
      </c>
      <c r="C10663" s="3" t="s">
        <v>9172</v>
      </c>
      <c r="D10663" s="4" t="str">
        <f t="shared" si="1494"/>
        <v>12Go Link</v>
      </c>
      <c r="E10663" s="3" t="s">
        <v>3196</v>
      </c>
      <c r="K10663" s="5"/>
    </row>
    <row r="10664">
      <c r="A10664" s="3" t="s">
        <v>5932</v>
      </c>
      <c r="B10664" s="3" t="s">
        <v>9133</v>
      </c>
      <c r="C10664" s="3" t="s">
        <v>9172</v>
      </c>
      <c r="D10664" s="4" t="str">
        <f t="shared" si="1494"/>
        <v>12Go Link</v>
      </c>
      <c r="E10664" s="3" t="s">
        <v>226</v>
      </c>
      <c r="K10664" s="5"/>
    </row>
    <row r="10665">
      <c r="A10665" s="3" t="s">
        <v>5932</v>
      </c>
      <c r="B10665" s="3" t="s">
        <v>9133</v>
      </c>
      <c r="C10665" s="3" t="s">
        <v>9172</v>
      </c>
      <c r="D10665" s="4" t="str">
        <f t="shared" si="1494"/>
        <v>12Go Link</v>
      </c>
      <c r="E10665" s="3" t="s">
        <v>3203</v>
      </c>
      <c r="K10665" s="5"/>
    </row>
    <row r="10666">
      <c r="A10666" s="3" t="s">
        <v>5932</v>
      </c>
      <c r="B10666" s="3" t="s">
        <v>9133</v>
      </c>
      <c r="C10666" s="3" t="s">
        <v>9173</v>
      </c>
      <c r="D10666" s="4" t="str">
        <f t="shared" ref="D10666:D10669" si="1495">HYPERLINK("https://12go.asia/en/travel/Al-Maktoum-International-Airport/Abu-Dhabi-Airport", "12Go Link")</f>
        <v>12Go Link</v>
      </c>
      <c r="E10666" s="3" t="s">
        <v>3265</v>
      </c>
      <c r="K10666" s="5"/>
    </row>
    <row r="10667">
      <c r="A10667" s="3" t="s">
        <v>5932</v>
      </c>
      <c r="B10667" s="3" t="s">
        <v>9133</v>
      </c>
      <c r="C10667" s="3" t="s">
        <v>9173</v>
      </c>
      <c r="D10667" s="4" t="str">
        <f t="shared" si="1495"/>
        <v>12Go Link</v>
      </c>
      <c r="E10667" s="3" t="s">
        <v>3196</v>
      </c>
      <c r="K10667" s="5"/>
    </row>
    <row r="10668">
      <c r="A10668" s="3" t="s">
        <v>5932</v>
      </c>
      <c r="B10668" s="3" t="s">
        <v>9133</v>
      </c>
      <c r="C10668" s="3" t="s">
        <v>9173</v>
      </c>
      <c r="D10668" s="4" t="str">
        <f t="shared" si="1495"/>
        <v>12Go Link</v>
      </c>
      <c r="E10668" s="3" t="s">
        <v>226</v>
      </c>
      <c r="K10668" s="5"/>
    </row>
    <row r="10669">
      <c r="A10669" s="3" t="s">
        <v>5932</v>
      </c>
      <c r="B10669" s="3" t="s">
        <v>9133</v>
      </c>
      <c r="C10669" s="3" t="s">
        <v>9173</v>
      </c>
      <c r="D10669" s="4" t="str">
        <f t="shared" si="1495"/>
        <v>12Go Link</v>
      </c>
      <c r="E10669" s="3" t="s">
        <v>3203</v>
      </c>
      <c r="K10669" s="5"/>
    </row>
    <row r="10670">
      <c r="A10670" s="3" t="s">
        <v>5932</v>
      </c>
      <c r="B10670" s="3" t="s">
        <v>9133</v>
      </c>
      <c r="C10670" s="3" t="s">
        <v>9174</v>
      </c>
      <c r="D10670" s="4" t="str">
        <f t="shared" ref="D10670:D10673" si="1496">HYPERLINK("https://12go.asia/en/travel/Arabian-Ranches-Hotel-Transfer/Abu-Dhabi-Airport", "12Go Link")</f>
        <v>12Go Link</v>
      </c>
      <c r="E10670" s="3" t="s">
        <v>3265</v>
      </c>
      <c r="K10670" s="5"/>
    </row>
    <row r="10671">
      <c r="A10671" s="3" t="s">
        <v>5932</v>
      </c>
      <c r="B10671" s="3" t="s">
        <v>9133</v>
      </c>
      <c r="C10671" s="3" t="s">
        <v>9174</v>
      </c>
      <c r="D10671" s="4" t="str">
        <f t="shared" si="1496"/>
        <v>12Go Link</v>
      </c>
      <c r="E10671" s="3" t="s">
        <v>3196</v>
      </c>
      <c r="K10671" s="5"/>
    </row>
    <row r="10672">
      <c r="A10672" s="3" t="s">
        <v>5932</v>
      </c>
      <c r="B10672" s="3" t="s">
        <v>9133</v>
      </c>
      <c r="C10672" s="3" t="s">
        <v>9174</v>
      </c>
      <c r="D10672" s="4" t="str">
        <f t="shared" si="1496"/>
        <v>12Go Link</v>
      </c>
      <c r="E10672" s="3" t="s">
        <v>226</v>
      </c>
      <c r="K10672" s="5"/>
    </row>
    <row r="10673">
      <c r="A10673" s="3" t="s">
        <v>5932</v>
      </c>
      <c r="B10673" s="3" t="s">
        <v>9133</v>
      </c>
      <c r="C10673" s="3" t="s">
        <v>9174</v>
      </c>
      <c r="D10673" s="4" t="str">
        <f t="shared" si="1496"/>
        <v>12Go Link</v>
      </c>
      <c r="E10673" s="3" t="s">
        <v>3203</v>
      </c>
      <c r="K10673" s="5"/>
    </row>
    <row r="10674">
      <c r="A10674" s="3" t="s">
        <v>5932</v>
      </c>
      <c r="B10674" s="3" t="s">
        <v>9133</v>
      </c>
      <c r="C10674" s="3" t="s">
        <v>9175</v>
      </c>
      <c r="D10674" s="4" t="str">
        <f t="shared" ref="D10674:D10677" si="1497">HYPERLINK("https://12go.asia/en/travel/Bur-Dubai-Hotel-Transfer/Abu-Dhabi-Airport", "12Go Link")</f>
        <v>12Go Link</v>
      </c>
      <c r="E10674" s="3" t="s">
        <v>3265</v>
      </c>
      <c r="K10674" s="5"/>
    </row>
    <row r="10675">
      <c r="A10675" s="3" t="s">
        <v>5932</v>
      </c>
      <c r="B10675" s="3" t="s">
        <v>9133</v>
      </c>
      <c r="C10675" s="3" t="s">
        <v>9175</v>
      </c>
      <c r="D10675" s="4" t="str">
        <f t="shared" si="1497"/>
        <v>12Go Link</v>
      </c>
      <c r="E10675" s="3" t="s">
        <v>3196</v>
      </c>
      <c r="K10675" s="5"/>
    </row>
    <row r="10676">
      <c r="A10676" s="3" t="s">
        <v>5932</v>
      </c>
      <c r="B10676" s="3" t="s">
        <v>9133</v>
      </c>
      <c r="C10676" s="3" t="s">
        <v>9175</v>
      </c>
      <c r="D10676" s="4" t="str">
        <f t="shared" si="1497"/>
        <v>12Go Link</v>
      </c>
      <c r="E10676" s="3" t="s">
        <v>226</v>
      </c>
      <c r="K10676" s="5"/>
    </row>
    <row r="10677">
      <c r="A10677" s="3" t="s">
        <v>5932</v>
      </c>
      <c r="B10677" s="3" t="s">
        <v>9133</v>
      </c>
      <c r="C10677" s="3" t="s">
        <v>9175</v>
      </c>
      <c r="D10677" s="4" t="str">
        <f t="shared" si="1497"/>
        <v>12Go Link</v>
      </c>
      <c r="E10677" s="3" t="s">
        <v>3203</v>
      </c>
      <c r="K10677" s="5"/>
    </row>
    <row r="10678">
      <c r="A10678" s="3" t="s">
        <v>5932</v>
      </c>
      <c r="B10678" s="3" t="s">
        <v>9133</v>
      </c>
      <c r="C10678" s="3" t="s">
        <v>9176</v>
      </c>
      <c r="D10678" s="4" t="str">
        <f t="shared" ref="D10678:D10681" si="1498">HYPERLINK("https://12go.asia/en/travel/Deira-Hotel-Transfer/Abu-Dhabi-Airport", "12Go Link")</f>
        <v>12Go Link</v>
      </c>
      <c r="E10678" s="3" t="s">
        <v>3265</v>
      </c>
      <c r="K10678" s="5"/>
    </row>
    <row r="10679">
      <c r="A10679" s="3" t="s">
        <v>5932</v>
      </c>
      <c r="B10679" s="3" t="s">
        <v>9133</v>
      </c>
      <c r="C10679" s="3" t="s">
        <v>9176</v>
      </c>
      <c r="D10679" s="4" t="str">
        <f t="shared" si="1498"/>
        <v>12Go Link</v>
      </c>
      <c r="E10679" s="3" t="s">
        <v>3196</v>
      </c>
      <c r="K10679" s="5"/>
    </row>
    <row r="10680">
      <c r="A10680" s="3" t="s">
        <v>5932</v>
      </c>
      <c r="B10680" s="3" t="s">
        <v>9133</v>
      </c>
      <c r="C10680" s="3" t="s">
        <v>9176</v>
      </c>
      <c r="D10680" s="4" t="str">
        <f t="shared" si="1498"/>
        <v>12Go Link</v>
      </c>
      <c r="E10680" s="3" t="s">
        <v>226</v>
      </c>
      <c r="K10680" s="5"/>
    </row>
    <row r="10681">
      <c r="A10681" s="3" t="s">
        <v>5932</v>
      </c>
      <c r="B10681" s="3" t="s">
        <v>9133</v>
      </c>
      <c r="C10681" s="3" t="s">
        <v>9176</v>
      </c>
      <c r="D10681" s="4" t="str">
        <f t="shared" si="1498"/>
        <v>12Go Link</v>
      </c>
      <c r="E10681" s="3" t="s">
        <v>3203</v>
      </c>
      <c r="K10681" s="5"/>
    </row>
    <row r="10682">
      <c r="A10682" s="3" t="s">
        <v>5932</v>
      </c>
      <c r="B10682" s="3" t="s">
        <v>9133</v>
      </c>
      <c r="C10682" s="3" t="s">
        <v>9177</v>
      </c>
      <c r="D10682" s="4" t="str">
        <f t="shared" ref="D10682:D10685" si="1499">HYPERLINK("https://12go.asia/en/travel/Dubai-Harbour-Cruise-Terminal/Abu-Dhabi-Airport", "12Go Link")</f>
        <v>12Go Link</v>
      </c>
      <c r="E10682" s="3" t="s">
        <v>3265</v>
      </c>
      <c r="K10682" s="5"/>
    </row>
    <row r="10683">
      <c r="A10683" s="3" t="s">
        <v>5932</v>
      </c>
      <c r="B10683" s="3" t="s">
        <v>9133</v>
      </c>
      <c r="C10683" s="3" t="s">
        <v>9177</v>
      </c>
      <c r="D10683" s="4" t="str">
        <f t="shared" si="1499"/>
        <v>12Go Link</v>
      </c>
      <c r="E10683" s="3" t="s">
        <v>3196</v>
      </c>
      <c r="K10683" s="5"/>
    </row>
    <row r="10684">
      <c r="A10684" s="3" t="s">
        <v>5932</v>
      </c>
      <c r="B10684" s="3" t="s">
        <v>9133</v>
      </c>
      <c r="C10684" s="3" t="s">
        <v>9177</v>
      </c>
      <c r="D10684" s="4" t="str">
        <f t="shared" si="1499"/>
        <v>12Go Link</v>
      </c>
      <c r="E10684" s="3" t="s">
        <v>226</v>
      </c>
      <c r="K10684" s="5"/>
    </row>
    <row r="10685">
      <c r="A10685" s="3" t="s">
        <v>5932</v>
      </c>
      <c r="B10685" s="3" t="s">
        <v>9133</v>
      </c>
      <c r="C10685" s="3" t="s">
        <v>9177</v>
      </c>
      <c r="D10685" s="4" t="str">
        <f t="shared" si="1499"/>
        <v>12Go Link</v>
      </c>
      <c r="E10685" s="3" t="s">
        <v>3203</v>
      </c>
      <c r="K10685" s="5"/>
    </row>
    <row r="10686">
      <c r="A10686" s="3" t="s">
        <v>5932</v>
      </c>
      <c r="B10686" s="3" t="s">
        <v>9133</v>
      </c>
      <c r="C10686" s="3" t="s">
        <v>9178</v>
      </c>
      <c r="D10686" s="4" t="str">
        <f t="shared" ref="D10686:D10689" si="1500">HYPERLINK("https://12go.asia/en/travel/Dubai-Hotel-Transfer/Abu-Dhabi-Airport", "12Go Link")</f>
        <v>12Go Link</v>
      </c>
      <c r="E10686" s="3" t="s">
        <v>3265</v>
      </c>
      <c r="K10686" s="5"/>
    </row>
    <row r="10687">
      <c r="A10687" s="3" t="s">
        <v>5932</v>
      </c>
      <c r="B10687" s="3" t="s">
        <v>9133</v>
      </c>
      <c r="C10687" s="3" t="s">
        <v>9178</v>
      </c>
      <c r="D10687" s="4" t="str">
        <f t="shared" si="1500"/>
        <v>12Go Link</v>
      </c>
      <c r="E10687" s="3" t="s">
        <v>3196</v>
      </c>
      <c r="K10687" s="5"/>
    </row>
    <row r="10688">
      <c r="A10688" s="3" t="s">
        <v>5932</v>
      </c>
      <c r="B10688" s="3" t="s">
        <v>9133</v>
      </c>
      <c r="C10688" s="3" t="s">
        <v>9178</v>
      </c>
      <c r="D10688" s="4" t="str">
        <f t="shared" si="1500"/>
        <v>12Go Link</v>
      </c>
      <c r="E10688" s="3" t="s">
        <v>226</v>
      </c>
      <c r="K10688" s="5"/>
    </row>
    <row r="10689">
      <c r="A10689" s="3" t="s">
        <v>5932</v>
      </c>
      <c r="B10689" s="3" t="s">
        <v>9133</v>
      </c>
      <c r="C10689" s="3" t="s">
        <v>9178</v>
      </c>
      <c r="D10689" s="4" t="str">
        <f t="shared" si="1500"/>
        <v>12Go Link</v>
      </c>
      <c r="E10689" s="3" t="s">
        <v>3203</v>
      </c>
      <c r="K10689" s="5"/>
    </row>
    <row r="10690">
      <c r="A10690" s="3" t="s">
        <v>5932</v>
      </c>
      <c r="B10690" s="3" t="s">
        <v>9133</v>
      </c>
      <c r="C10690" s="3" t="s">
        <v>9179</v>
      </c>
      <c r="D10690" s="4" t="str">
        <f t="shared" ref="D10690:D10693" si="1501">HYPERLINK("https://12go.asia/en/travel/Dubai-International-Airport/Abu-Dhabi-Airport", "12Go Link")</f>
        <v>12Go Link</v>
      </c>
      <c r="E10690" s="3" t="s">
        <v>3265</v>
      </c>
      <c r="K10690" s="5"/>
    </row>
    <row r="10691">
      <c r="A10691" s="3" t="s">
        <v>5932</v>
      </c>
      <c r="B10691" s="3" t="s">
        <v>9133</v>
      </c>
      <c r="C10691" s="3" t="s">
        <v>9179</v>
      </c>
      <c r="D10691" s="4" t="str">
        <f t="shared" si="1501"/>
        <v>12Go Link</v>
      </c>
      <c r="E10691" s="3" t="s">
        <v>3196</v>
      </c>
      <c r="K10691" s="5"/>
    </row>
    <row r="10692">
      <c r="A10692" s="3" t="s">
        <v>5932</v>
      </c>
      <c r="B10692" s="3" t="s">
        <v>9133</v>
      </c>
      <c r="C10692" s="3" t="s">
        <v>9179</v>
      </c>
      <c r="D10692" s="4" t="str">
        <f t="shared" si="1501"/>
        <v>12Go Link</v>
      </c>
      <c r="E10692" s="3" t="s">
        <v>226</v>
      </c>
      <c r="K10692" s="5"/>
    </row>
    <row r="10693">
      <c r="A10693" s="3" t="s">
        <v>5932</v>
      </c>
      <c r="B10693" s="3" t="s">
        <v>9133</v>
      </c>
      <c r="C10693" s="3" t="s">
        <v>9179</v>
      </c>
      <c r="D10693" s="4" t="str">
        <f t="shared" si="1501"/>
        <v>12Go Link</v>
      </c>
      <c r="E10693" s="3" t="s">
        <v>3203</v>
      </c>
      <c r="K10693" s="5"/>
    </row>
    <row r="10694">
      <c r="A10694" s="3" t="s">
        <v>5932</v>
      </c>
      <c r="B10694" s="3" t="s">
        <v>9133</v>
      </c>
      <c r="C10694" s="3" t="s">
        <v>9180</v>
      </c>
      <c r="D10694" s="4" t="str">
        <f>HYPERLINK("https://12go.asia/en/travel/Dubai-International-Airport/Abu-Dhabi-Hotel-Transfer", "12Go Link")</f>
        <v>12Go Link</v>
      </c>
      <c r="E10694" s="3" t="s">
        <v>3481</v>
      </c>
      <c r="K10694" s="5"/>
    </row>
    <row r="10695">
      <c r="A10695" s="3" t="s">
        <v>5932</v>
      </c>
      <c r="B10695" s="3" t="s">
        <v>9133</v>
      </c>
      <c r="C10695" s="3" t="s">
        <v>9181</v>
      </c>
      <c r="D10695" s="4" t="str">
        <f t="shared" ref="D10695:D10698" si="1502">HYPERLINK("https://12go.asia/en/travel/Dubai-Marina-Transfer/Abu-Dhabi-Airport", "12Go Link")</f>
        <v>12Go Link</v>
      </c>
      <c r="E10695" s="3" t="s">
        <v>3265</v>
      </c>
      <c r="K10695" s="5"/>
    </row>
    <row r="10696">
      <c r="A10696" s="3" t="s">
        <v>5932</v>
      </c>
      <c r="B10696" s="3" t="s">
        <v>9133</v>
      </c>
      <c r="C10696" s="3" t="s">
        <v>9181</v>
      </c>
      <c r="D10696" s="4" t="str">
        <f t="shared" si="1502"/>
        <v>12Go Link</v>
      </c>
      <c r="E10696" s="3" t="s">
        <v>3196</v>
      </c>
      <c r="K10696" s="5"/>
    </row>
    <row r="10697">
      <c r="A10697" s="3" t="s">
        <v>5932</v>
      </c>
      <c r="B10697" s="3" t="s">
        <v>9133</v>
      </c>
      <c r="C10697" s="3" t="s">
        <v>9181</v>
      </c>
      <c r="D10697" s="4" t="str">
        <f t="shared" si="1502"/>
        <v>12Go Link</v>
      </c>
      <c r="E10697" s="3" t="s">
        <v>226</v>
      </c>
      <c r="K10697" s="5"/>
    </row>
    <row r="10698">
      <c r="A10698" s="3" t="s">
        <v>5932</v>
      </c>
      <c r="B10698" s="3" t="s">
        <v>9133</v>
      </c>
      <c r="C10698" s="3" t="s">
        <v>9181</v>
      </c>
      <c r="D10698" s="4" t="str">
        <f t="shared" si="1502"/>
        <v>12Go Link</v>
      </c>
      <c r="E10698" s="3" t="s">
        <v>3203</v>
      </c>
      <c r="K10698" s="5"/>
    </row>
    <row r="10699">
      <c r="A10699" s="3" t="s">
        <v>5932</v>
      </c>
      <c r="B10699" s="3" t="s">
        <v>9133</v>
      </c>
      <c r="C10699" s="3" t="s">
        <v>9182</v>
      </c>
      <c r="D10699" s="4" t="str">
        <f t="shared" ref="D10699:D10702" si="1503">HYPERLINK("https://12go.asia/en/travel/Jebel-Ali-Hotel-Transfer/Abu-Dhabi-Airport", "12Go Link")</f>
        <v>12Go Link</v>
      </c>
      <c r="E10699" s="3" t="s">
        <v>3265</v>
      </c>
      <c r="K10699" s="5"/>
    </row>
    <row r="10700">
      <c r="A10700" s="3" t="s">
        <v>5932</v>
      </c>
      <c r="B10700" s="3" t="s">
        <v>9133</v>
      </c>
      <c r="C10700" s="3" t="s">
        <v>9182</v>
      </c>
      <c r="D10700" s="4" t="str">
        <f t="shared" si="1503"/>
        <v>12Go Link</v>
      </c>
      <c r="E10700" s="3" t="s">
        <v>3196</v>
      </c>
      <c r="K10700" s="5"/>
    </row>
    <row r="10701">
      <c r="A10701" s="3" t="s">
        <v>5932</v>
      </c>
      <c r="B10701" s="3" t="s">
        <v>9133</v>
      </c>
      <c r="C10701" s="3" t="s">
        <v>9182</v>
      </c>
      <c r="D10701" s="4" t="str">
        <f t="shared" si="1503"/>
        <v>12Go Link</v>
      </c>
      <c r="E10701" s="3" t="s">
        <v>226</v>
      </c>
      <c r="K10701" s="5"/>
    </row>
    <row r="10702">
      <c r="A10702" s="3" t="s">
        <v>5932</v>
      </c>
      <c r="B10702" s="3" t="s">
        <v>9133</v>
      </c>
      <c r="C10702" s="3" t="s">
        <v>9182</v>
      </c>
      <c r="D10702" s="4" t="str">
        <f t="shared" si="1503"/>
        <v>12Go Link</v>
      </c>
      <c r="E10702" s="3" t="s">
        <v>3203</v>
      </c>
      <c r="K10702" s="5"/>
    </row>
    <row r="10703">
      <c r="A10703" s="3" t="s">
        <v>5932</v>
      </c>
      <c r="B10703" s="3" t="s">
        <v>9133</v>
      </c>
      <c r="C10703" s="3" t="s">
        <v>9183</v>
      </c>
      <c r="D10703" s="4" t="str">
        <f t="shared" ref="D10703:D10706" si="1504">HYPERLINK("https://12go.asia/en/travel/Jumeirah-Beach-Transfer/Abu-Dhabi-Airport", "12Go Link")</f>
        <v>12Go Link</v>
      </c>
      <c r="E10703" s="3" t="s">
        <v>3265</v>
      </c>
      <c r="K10703" s="5"/>
    </row>
    <row r="10704">
      <c r="A10704" s="3" t="s">
        <v>5932</v>
      </c>
      <c r="B10704" s="3" t="s">
        <v>9133</v>
      </c>
      <c r="C10704" s="3" t="s">
        <v>9183</v>
      </c>
      <c r="D10704" s="4" t="str">
        <f t="shared" si="1504"/>
        <v>12Go Link</v>
      </c>
      <c r="E10704" s="3" t="s">
        <v>3196</v>
      </c>
      <c r="K10704" s="5"/>
    </row>
    <row r="10705">
      <c r="A10705" s="3" t="s">
        <v>5932</v>
      </c>
      <c r="B10705" s="3" t="s">
        <v>9133</v>
      </c>
      <c r="C10705" s="3" t="s">
        <v>9183</v>
      </c>
      <c r="D10705" s="4" t="str">
        <f t="shared" si="1504"/>
        <v>12Go Link</v>
      </c>
      <c r="E10705" s="3" t="s">
        <v>226</v>
      </c>
      <c r="K10705" s="5"/>
    </row>
    <row r="10706">
      <c r="A10706" s="3" t="s">
        <v>5932</v>
      </c>
      <c r="B10706" s="3" t="s">
        <v>9133</v>
      </c>
      <c r="C10706" s="3" t="s">
        <v>9183</v>
      </c>
      <c r="D10706" s="4" t="str">
        <f t="shared" si="1504"/>
        <v>12Go Link</v>
      </c>
      <c r="E10706" s="3" t="s">
        <v>3203</v>
      </c>
      <c r="K10706" s="5"/>
    </row>
    <row r="10707">
      <c r="A10707" s="3" t="s">
        <v>5932</v>
      </c>
      <c r="B10707" s="3" t="s">
        <v>9133</v>
      </c>
      <c r="C10707" s="3" t="s">
        <v>9184</v>
      </c>
      <c r="D10707" s="4" t="str">
        <f t="shared" ref="D10707:D10710" si="1505">HYPERLINK("https://12go.asia/en/travel/Nad-Al-Sheba-Hotel-Transfer/Abu-Dhabi-Airport", "12Go Link")</f>
        <v>12Go Link</v>
      </c>
      <c r="E10707" s="3" t="s">
        <v>3265</v>
      </c>
      <c r="K10707" s="5"/>
    </row>
    <row r="10708">
      <c r="A10708" s="3" t="s">
        <v>5932</v>
      </c>
      <c r="B10708" s="3" t="s">
        <v>9133</v>
      </c>
      <c r="C10708" s="3" t="s">
        <v>9184</v>
      </c>
      <c r="D10708" s="4" t="str">
        <f t="shared" si="1505"/>
        <v>12Go Link</v>
      </c>
      <c r="E10708" s="3" t="s">
        <v>3196</v>
      </c>
      <c r="K10708" s="5"/>
    </row>
    <row r="10709">
      <c r="A10709" s="3" t="s">
        <v>5932</v>
      </c>
      <c r="B10709" s="3" t="s">
        <v>9133</v>
      </c>
      <c r="C10709" s="3" t="s">
        <v>9184</v>
      </c>
      <c r="D10709" s="4" t="str">
        <f t="shared" si="1505"/>
        <v>12Go Link</v>
      </c>
      <c r="E10709" s="3" t="s">
        <v>226</v>
      </c>
      <c r="K10709" s="5"/>
    </row>
    <row r="10710">
      <c r="A10710" s="3" t="s">
        <v>5932</v>
      </c>
      <c r="B10710" s="3" t="s">
        <v>9133</v>
      </c>
      <c r="C10710" s="3" t="s">
        <v>9184</v>
      </c>
      <c r="D10710" s="4" t="str">
        <f t="shared" si="1505"/>
        <v>12Go Link</v>
      </c>
      <c r="E10710" s="3" t="s">
        <v>3203</v>
      </c>
      <c r="K10710" s="5"/>
    </row>
    <row r="10711">
      <c r="A10711" s="3" t="s">
        <v>5932</v>
      </c>
      <c r="B10711" s="3" t="s">
        <v>9133</v>
      </c>
      <c r="C10711" s="3" t="s">
        <v>9185</v>
      </c>
      <c r="D10711" s="4" t="str">
        <f t="shared" ref="D10711:D10714" si="1506">HYPERLINK("https://12go.asia/en/travel/The-Palm-Jumeirah-Hotel-Transfer/Abu-Dhabi-Airport", "12Go Link")</f>
        <v>12Go Link</v>
      </c>
      <c r="E10711" s="3" t="s">
        <v>3265</v>
      </c>
      <c r="K10711" s="5"/>
    </row>
    <row r="10712">
      <c r="A10712" s="3" t="s">
        <v>5932</v>
      </c>
      <c r="B10712" s="3" t="s">
        <v>9133</v>
      </c>
      <c r="C10712" s="3" t="s">
        <v>9185</v>
      </c>
      <c r="D10712" s="4" t="str">
        <f t="shared" si="1506"/>
        <v>12Go Link</v>
      </c>
      <c r="E10712" s="3" t="s">
        <v>3196</v>
      </c>
      <c r="K10712" s="5"/>
    </row>
    <row r="10713">
      <c r="A10713" s="3" t="s">
        <v>5932</v>
      </c>
      <c r="B10713" s="3" t="s">
        <v>9133</v>
      </c>
      <c r="C10713" s="3" t="s">
        <v>9185</v>
      </c>
      <c r="D10713" s="4" t="str">
        <f t="shared" si="1506"/>
        <v>12Go Link</v>
      </c>
      <c r="E10713" s="3" t="s">
        <v>226</v>
      </c>
      <c r="K10713" s="5"/>
    </row>
    <row r="10714">
      <c r="A10714" s="3" t="s">
        <v>5932</v>
      </c>
      <c r="B10714" s="3" t="s">
        <v>9133</v>
      </c>
      <c r="C10714" s="3" t="s">
        <v>9185</v>
      </c>
      <c r="D10714" s="4" t="str">
        <f t="shared" si="1506"/>
        <v>12Go Link</v>
      </c>
      <c r="E10714" s="3" t="s">
        <v>3203</v>
      </c>
      <c r="K10714" s="5"/>
    </row>
    <row r="10715">
      <c r="A10715" s="3" t="s">
        <v>5932</v>
      </c>
      <c r="B10715" s="3" t="s">
        <v>9166</v>
      </c>
      <c r="C10715" s="3" t="s">
        <v>9186</v>
      </c>
      <c r="D10715" s="4" t="str">
        <f t="shared" ref="D10715:D10718" si="1507">HYPERLINK("https://12go.asia/en/travel/Dubai-International-Airport/Ajman-Hotel-Transfer", "12Go Link")</f>
        <v>12Go Link</v>
      </c>
      <c r="E10715" s="3" t="s">
        <v>3265</v>
      </c>
      <c r="K10715" s="5"/>
    </row>
    <row r="10716">
      <c r="A10716" s="3" t="s">
        <v>5932</v>
      </c>
      <c r="B10716" s="3" t="s">
        <v>9166</v>
      </c>
      <c r="C10716" s="3" t="s">
        <v>9186</v>
      </c>
      <c r="D10716" s="4" t="str">
        <f t="shared" si="1507"/>
        <v>12Go Link</v>
      </c>
      <c r="E10716" s="3" t="s">
        <v>3196</v>
      </c>
      <c r="K10716" s="5"/>
    </row>
    <row r="10717">
      <c r="A10717" s="3" t="s">
        <v>5932</v>
      </c>
      <c r="B10717" s="3" t="s">
        <v>9166</v>
      </c>
      <c r="C10717" s="3" t="s">
        <v>9186</v>
      </c>
      <c r="D10717" s="4" t="str">
        <f t="shared" si="1507"/>
        <v>12Go Link</v>
      </c>
      <c r="E10717" s="3" t="s">
        <v>226</v>
      </c>
      <c r="K10717" s="5"/>
    </row>
    <row r="10718">
      <c r="A10718" s="3" t="s">
        <v>5932</v>
      </c>
      <c r="B10718" s="3" t="s">
        <v>9166</v>
      </c>
      <c r="C10718" s="3" t="s">
        <v>9186</v>
      </c>
      <c r="D10718" s="4" t="str">
        <f t="shared" si="1507"/>
        <v>12Go Link</v>
      </c>
      <c r="E10718" s="3" t="s">
        <v>3203</v>
      </c>
      <c r="K10718" s="5"/>
    </row>
    <row r="10719">
      <c r="A10719" s="3" t="s">
        <v>5932</v>
      </c>
      <c r="B10719" s="3" t="s">
        <v>9166</v>
      </c>
      <c r="C10719" s="3" t="s">
        <v>9187</v>
      </c>
      <c r="D10719" s="4" t="str">
        <f t="shared" ref="D10719:D10721" si="1508">HYPERLINK("https://12go.asia/en/travel/Dubai-Port/Ajman-Hotel-Transfer", "12Go Link")</f>
        <v>12Go Link</v>
      </c>
      <c r="E10719" s="3" t="s">
        <v>3265</v>
      </c>
      <c r="K10719" s="5"/>
    </row>
    <row r="10720">
      <c r="A10720" s="3" t="s">
        <v>5932</v>
      </c>
      <c r="B10720" s="3" t="s">
        <v>9166</v>
      </c>
      <c r="C10720" s="3" t="s">
        <v>9187</v>
      </c>
      <c r="D10720" s="4" t="str">
        <f t="shared" si="1508"/>
        <v>12Go Link</v>
      </c>
      <c r="E10720" s="3" t="s">
        <v>3196</v>
      </c>
      <c r="K10720" s="5"/>
    </row>
    <row r="10721">
      <c r="A10721" s="3" t="s">
        <v>5932</v>
      </c>
      <c r="B10721" s="3" t="s">
        <v>9166</v>
      </c>
      <c r="C10721" s="3" t="s">
        <v>9187</v>
      </c>
      <c r="D10721" s="4" t="str">
        <f t="shared" si="1508"/>
        <v>12Go Link</v>
      </c>
      <c r="E10721" s="3" t="s">
        <v>3203</v>
      </c>
      <c r="K10721" s="5"/>
    </row>
    <row r="10722">
      <c r="A10722" s="3" t="s">
        <v>5932</v>
      </c>
      <c r="B10722" s="3" t="s">
        <v>9169</v>
      </c>
      <c r="C10722" s="3" t="s">
        <v>9188</v>
      </c>
      <c r="D10722" s="4" t="str">
        <f t="shared" ref="D10722:D10725" si="1509">HYPERLINK("https://12go.asia/en/travel/Dubai-International-Airport/Al-Maha-Resort", "12Go Link")</f>
        <v>12Go Link</v>
      </c>
      <c r="E10722" s="3" t="s">
        <v>3265</v>
      </c>
      <c r="K10722" s="5"/>
    </row>
    <row r="10723">
      <c r="A10723" s="3" t="s">
        <v>5932</v>
      </c>
      <c r="B10723" s="3" t="s">
        <v>9169</v>
      </c>
      <c r="C10723" s="3" t="s">
        <v>9188</v>
      </c>
      <c r="D10723" s="4" t="str">
        <f t="shared" si="1509"/>
        <v>12Go Link</v>
      </c>
      <c r="E10723" s="3" t="s">
        <v>3196</v>
      </c>
      <c r="K10723" s="5"/>
    </row>
    <row r="10724">
      <c r="A10724" s="3" t="s">
        <v>5932</v>
      </c>
      <c r="B10724" s="3" t="s">
        <v>9169</v>
      </c>
      <c r="C10724" s="3" t="s">
        <v>9188</v>
      </c>
      <c r="D10724" s="4" t="str">
        <f t="shared" si="1509"/>
        <v>12Go Link</v>
      </c>
      <c r="E10724" s="3" t="s">
        <v>226</v>
      </c>
      <c r="K10724" s="5"/>
    </row>
    <row r="10725">
      <c r="A10725" s="3" t="s">
        <v>5932</v>
      </c>
      <c r="B10725" s="3" t="s">
        <v>9169</v>
      </c>
      <c r="C10725" s="3" t="s">
        <v>9188</v>
      </c>
      <c r="D10725" s="4" t="str">
        <f t="shared" si="1509"/>
        <v>12Go Link</v>
      </c>
      <c r="E10725" s="3" t="s">
        <v>3203</v>
      </c>
      <c r="K10725" s="5"/>
    </row>
    <row r="10726">
      <c r="A10726" s="3" t="s">
        <v>5932</v>
      </c>
      <c r="B10726" s="3" t="s">
        <v>9169</v>
      </c>
      <c r="C10726" s="3" t="s">
        <v>9189</v>
      </c>
      <c r="D10726" s="4" t="str">
        <f t="shared" ref="D10726:D10728" si="1510">HYPERLINK("https://12go.asia/en/travel/Dubai-Port/Al-Maha-Resort", "12Go Link")</f>
        <v>12Go Link</v>
      </c>
      <c r="E10726" s="3" t="s">
        <v>3265</v>
      </c>
      <c r="K10726" s="5"/>
    </row>
    <row r="10727">
      <c r="A10727" s="3" t="s">
        <v>5932</v>
      </c>
      <c r="B10727" s="3" t="s">
        <v>9169</v>
      </c>
      <c r="C10727" s="3" t="s">
        <v>9189</v>
      </c>
      <c r="D10727" s="4" t="str">
        <f t="shared" si="1510"/>
        <v>12Go Link</v>
      </c>
      <c r="E10727" s="3" t="s">
        <v>3196</v>
      </c>
      <c r="K10727" s="5"/>
    </row>
    <row r="10728">
      <c r="A10728" s="3" t="s">
        <v>5932</v>
      </c>
      <c r="B10728" s="3" t="s">
        <v>9169</v>
      </c>
      <c r="C10728" s="3" t="s">
        <v>9189</v>
      </c>
      <c r="D10728" s="4" t="str">
        <f t="shared" si="1510"/>
        <v>12Go Link</v>
      </c>
      <c r="E10728" s="3" t="s">
        <v>3203</v>
      </c>
      <c r="K10728" s="5"/>
    </row>
    <row r="10729">
      <c r="A10729" s="3" t="s">
        <v>5932</v>
      </c>
      <c r="B10729" s="3" t="s">
        <v>5932</v>
      </c>
      <c r="C10729" s="3" t="s">
        <v>9190</v>
      </c>
      <c r="D10729" s="4" t="str">
        <f t="shared" ref="D10729:D10732" si="1511">HYPERLINK("https://12go.asia/en/travel/Al-Barsha-Hotel-Transfer/Dubai-International-Airport", "12Go Link")</f>
        <v>12Go Link</v>
      </c>
      <c r="E10729" s="3" t="s">
        <v>3265</v>
      </c>
      <c r="K10729" s="5"/>
    </row>
    <row r="10730">
      <c r="A10730" s="3" t="s">
        <v>5932</v>
      </c>
      <c r="B10730" s="3" t="s">
        <v>5932</v>
      </c>
      <c r="C10730" s="3" t="s">
        <v>9190</v>
      </c>
      <c r="D10730" s="4" t="str">
        <f t="shared" si="1511"/>
        <v>12Go Link</v>
      </c>
      <c r="E10730" s="3" t="s">
        <v>3196</v>
      </c>
      <c r="K10730" s="5"/>
    </row>
    <row r="10731">
      <c r="A10731" s="3" t="s">
        <v>5932</v>
      </c>
      <c r="B10731" s="3" t="s">
        <v>5932</v>
      </c>
      <c r="C10731" s="3" t="s">
        <v>9190</v>
      </c>
      <c r="D10731" s="4" t="str">
        <f t="shared" si="1511"/>
        <v>12Go Link</v>
      </c>
      <c r="E10731" s="3" t="s">
        <v>226</v>
      </c>
      <c r="K10731" s="5"/>
    </row>
    <row r="10732">
      <c r="A10732" s="3" t="s">
        <v>5932</v>
      </c>
      <c r="B10732" s="3" t="s">
        <v>5932</v>
      </c>
      <c r="C10732" s="3" t="s">
        <v>9190</v>
      </c>
      <c r="D10732" s="4" t="str">
        <f t="shared" si="1511"/>
        <v>12Go Link</v>
      </c>
      <c r="E10732" s="3" t="s">
        <v>3203</v>
      </c>
      <c r="K10732" s="5"/>
    </row>
    <row r="10733">
      <c r="A10733" s="3" t="s">
        <v>5932</v>
      </c>
      <c r="B10733" s="3" t="s">
        <v>5932</v>
      </c>
      <c r="C10733" s="3" t="s">
        <v>9191</v>
      </c>
      <c r="D10733" s="4" t="str">
        <f t="shared" ref="D10733:D10735" si="1512">HYPERLINK("https://12go.asia/en/travel/Al-Barsha-Hotel-Transfer/Dubai-Port", "12Go Link")</f>
        <v>12Go Link</v>
      </c>
      <c r="E10733" s="3" t="s">
        <v>3265</v>
      </c>
      <c r="K10733" s="5"/>
    </row>
    <row r="10734">
      <c r="A10734" s="3" t="s">
        <v>5932</v>
      </c>
      <c r="B10734" s="3" t="s">
        <v>5932</v>
      </c>
      <c r="C10734" s="3" t="s">
        <v>9191</v>
      </c>
      <c r="D10734" s="4" t="str">
        <f t="shared" si="1512"/>
        <v>12Go Link</v>
      </c>
      <c r="E10734" s="3" t="s">
        <v>3196</v>
      </c>
      <c r="K10734" s="5"/>
    </row>
    <row r="10735">
      <c r="A10735" s="3" t="s">
        <v>5932</v>
      </c>
      <c r="B10735" s="3" t="s">
        <v>5932</v>
      </c>
      <c r="C10735" s="3" t="s">
        <v>9191</v>
      </c>
      <c r="D10735" s="4" t="str">
        <f t="shared" si="1512"/>
        <v>12Go Link</v>
      </c>
      <c r="E10735" s="3" t="s">
        <v>3203</v>
      </c>
      <c r="K10735" s="5"/>
    </row>
    <row r="10736">
      <c r="A10736" s="3" t="s">
        <v>5932</v>
      </c>
      <c r="B10736" s="3" t="s">
        <v>5932</v>
      </c>
      <c r="C10736" s="3" t="s">
        <v>9192</v>
      </c>
      <c r="D10736" s="4" t="str">
        <f t="shared" ref="D10736:D10739" si="1513">HYPERLINK("https://12go.asia/en/travel/Al-Maktoum-International-Airport/Dubai-International-Airport", "12Go Link")</f>
        <v>12Go Link</v>
      </c>
      <c r="E10736" s="3" t="s">
        <v>3265</v>
      </c>
      <c r="K10736" s="5"/>
    </row>
    <row r="10737">
      <c r="A10737" s="3" t="s">
        <v>5932</v>
      </c>
      <c r="B10737" s="3" t="s">
        <v>5932</v>
      </c>
      <c r="C10737" s="3" t="s">
        <v>9192</v>
      </c>
      <c r="D10737" s="4" t="str">
        <f t="shared" si="1513"/>
        <v>12Go Link</v>
      </c>
      <c r="E10737" s="3" t="s">
        <v>3196</v>
      </c>
      <c r="K10737" s="5"/>
    </row>
    <row r="10738">
      <c r="A10738" s="3" t="s">
        <v>5932</v>
      </c>
      <c r="B10738" s="3" t="s">
        <v>5932</v>
      </c>
      <c r="C10738" s="3" t="s">
        <v>9192</v>
      </c>
      <c r="D10738" s="4" t="str">
        <f t="shared" si="1513"/>
        <v>12Go Link</v>
      </c>
      <c r="E10738" s="3" t="s">
        <v>226</v>
      </c>
      <c r="K10738" s="5"/>
    </row>
    <row r="10739">
      <c r="A10739" s="3" t="s">
        <v>5932</v>
      </c>
      <c r="B10739" s="3" t="s">
        <v>5932</v>
      </c>
      <c r="C10739" s="3" t="s">
        <v>9192</v>
      </c>
      <c r="D10739" s="4" t="str">
        <f t="shared" si="1513"/>
        <v>12Go Link</v>
      </c>
      <c r="E10739" s="3" t="s">
        <v>3203</v>
      </c>
      <c r="K10739" s="5"/>
    </row>
    <row r="10740">
      <c r="A10740" s="3" t="s">
        <v>5932</v>
      </c>
      <c r="B10740" s="3" t="s">
        <v>5932</v>
      </c>
      <c r="C10740" s="3" t="s">
        <v>9193</v>
      </c>
      <c r="D10740" s="4" t="str">
        <f t="shared" ref="D10740:D10742" si="1514">HYPERLINK("https://12go.asia/en/travel/Al-Maktoum-International-Airport/Dubai-Port", "12Go Link")</f>
        <v>12Go Link</v>
      </c>
      <c r="E10740" s="3" t="s">
        <v>3265</v>
      </c>
      <c r="K10740" s="5"/>
    </row>
    <row r="10741">
      <c r="A10741" s="3" t="s">
        <v>5932</v>
      </c>
      <c r="B10741" s="3" t="s">
        <v>5932</v>
      </c>
      <c r="C10741" s="3" t="s">
        <v>9193</v>
      </c>
      <c r="D10741" s="4" t="str">
        <f t="shared" si="1514"/>
        <v>12Go Link</v>
      </c>
      <c r="E10741" s="3" t="s">
        <v>3196</v>
      </c>
      <c r="K10741" s="5"/>
    </row>
    <row r="10742">
      <c r="A10742" s="3" t="s">
        <v>5932</v>
      </c>
      <c r="B10742" s="3" t="s">
        <v>5932</v>
      </c>
      <c r="C10742" s="3" t="s">
        <v>9193</v>
      </c>
      <c r="D10742" s="4" t="str">
        <f t="shared" si="1514"/>
        <v>12Go Link</v>
      </c>
      <c r="E10742" s="3" t="s">
        <v>3203</v>
      </c>
      <c r="K10742" s="5"/>
    </row>
    <row r="10743">
      <c r="A10743" s="3" t="s">
        <v>5932</v>
      </c>
      <c r="B10743" s="3" t="s">
        <v>5932</v>
      </c>
      <c r="C10743" s="3" t="s">
        <v>9194</v>
      </c>
      <c r="D10743" s="4" t="str">
        <f t="shared" ref="D10743:D10746" si="1515">HYPERLINK("https://12go.asia/en/travel/Al-Mamzar-Hotel-Transfer/Dubai-International-Airport", "12Go Link")</f>
        <v>12Go Link</v>
      </c>
      <c r="E10743" s="3" t="s">
        <v>3265</v>
      </c>
      <c r="K10743" s="5"/>
    </row>
    <row r="10744">
      <c r="A10744" s="3" t="s">
        <v>5932</v>
      </c>
      <c r="B10744" s="3" t="s">
        <v>5932</v>
      </c>
      <c r="C10744" s="3" t="s">
        <v>9194</v>
      </c>
      <c r="D10744" s="4" t="str">
        <f t="shared" si="1515"/>
        <v>12Go Link</v>
      </c>
      <c r="E10744" s="3" t="s">
        <v>3196</v>
      </c>
      <c r="K10744" s="5"/>
    </row>
    <row r="10745">
      <c r="A10745" s="3" t="s">
        <v>5932</v>
      </c>
      <c r="B10745" s="3" t="s">
        <v>5932</v>
      </c>
      <c r="C10745" s="3" t="s">
        <v>9194</v>
      </c>
      <c r="D10745" s="4" t="str">
        <f t="shared" si="1515"/>
        <v>12Go Link</v>
      </c>
      <c r="E10745" s="3" t="s">
        <v>226</v>
      </c>
      <c r="K10745" s="5"/>
    </row>
    <row r="10746">
      <c r="A10746" s="3" t="s">
        <v>5932</v>
      </c>
      <c r="B10746" s="3" t="s">
        <v>5932</v>
      </c>
      <c r="C10746" s="3" t="s">
        <v>9194</v>
      </c>
      <c r="D10746" s="4" t="str">
        <f t="shared" si="1515"/>
        <v>12Go Link</v>
      </c>
      <c r="E10746" s="3" t="s">
        <v>3203</v>
      </c>
      <c r="K10746" s="5"/>
    </row>
    <row r="10747">
      <c r="A10747" s="3" t="s">
        <v>5932</v>
      </c>
      <c r="B10747" s="3" t="s">
        <v>5932</v>
      </c>
      <c r="C10747" s="3" t="s">
        <v>9195</v>
      </c>
      <c r="D10747" s="4" t="str">
        <f t="shared" ref="D10747:D10749" si="1516">HYPERLINK("https://12go.asia/en/travel/Al-Mamzar-Hotel-Transfer/Dubai-Port", "12Go Link")</f>
        <v>12Go Link</v>
      </c>
      <c r="E10747" s="3" t="s">
        <v>3265</v>
      </c>
      <c r="K10747" s="5"/>
    </row>
    <row r="10748">
      <c r="A10748" s="3" t="s">
        <v>5932</v>
      </c>
      <c r="B10748" s="3" t="s">
        <v>5932</v>
      </c>
      <c r="C10748" s="3" t="s">
        <v>9195</v>
      </c>
      <c r="D10748" s="4" t="str">
        <f t="shared" si="1516"/>
        <v>12Go Link</v>
      </c>
      <c r="E10748" s="3" t="s">
        <v>3196</v>
      </c>
      <c r="K10748" s="5"/>
    </row>
    <row r="10749">
      <c r="A10749" s="3" t="s">
        <v>5932</v>
      </c>
      <c r="B10749" s="3" t="s">
        <v>5932</v>
      </c>
      <c r="C10749" s="3" t="s">
        <v>9195</v>
      </c>
      <c r="D10749" s="4" t="str">
        <f t="shared" si="1516"/>
        <v>12Go Link</v>
      </c>
      <c r="E10749" s="3" t="s">
        <v>3203</v>
      </c>
      <c r="K10749" s="5"/>
    </row>
    <row r="10750">
      <c r="A10750" s="3" t="s">
        <v>5932</v>
      </c>
      <c r="B10750" s="3" t="s">
        <v>5932</v>
      </c>
      <c r="C10750" s="3" t="s">
        <v>9196</v>
      </c>
      <c r="D10750" s="4" t="str">
        <f t="shared" ref="D10750:D10753" si="1517">HYPERLINK("https://12go.asia/en/travel/Al-Sufouh-Hotel-Transfer/Dubai-International-Airport", "12Go Link")</f>
        <v>12Go Link</v>
      </c>
      <c r="E10750" s="3" t="s">
        <v>3265</v>
      </c>
      <c r="K10750" s="5"/>
    </row>
    <row r="10751">
      <c r="A10751" s="3" t="s">
        <v>5932</v>
      </c>
      <c r="B10751" s="3" t="s">
        <v>5932</v>
      </c>
      <c r="C10751" s="3" t="s">
        <v>9196</v>
      </c>
      <c r="D10751" s="4" t="str">
        <f t="shared" si="1517"/>
        <v>12Go Link</v>
      </c>
      <c r="E10751" s="3" t="s">
        <v>3196</v>
      </c>
      <c r="K10751" s="5"/>
    </row>
    <row r="10752">
      <c r="A10752" s="3" t="s">
        <v>5932</v>
      </c>
      <c r="B10752" s="3" t="s">
        <v>5932</v>
      </c>
      <c r="C10752" s="3" t="s">
        <v>9196</v>
      </c>
      <c r="D10752" s="4" t="str">
        <f t="shared" si="1517"/>
        <v>12Go Link</v>
      </c>
      <c r="E10752" s="3" t="s">
        <v>226</v>
      </c>
      <c r="K10752" s="5"/>
    </row>
    <row r="10753">
      <c r="A10753" s="3" t="s">
        <v>5932</v>
      </c>
      <c r="B10753" s="3" t="s">
        <v>5932</v>
      </c>
      <c r="C10753" s="3" t="s">
        <v>9196</v>
      </c>
      <c r="D10753" s="4" t="str">
        <f t="shared" si="1517"/>
        <v>12Go Link</v>
      </c>
      <c r="E10753" s="3" t="s">
        <v>3203</v>
      </c>
      <c r="K10753" s="5"/>
    </row>
    <row r="10754">
      <c r="A10754" s="3" t="s">
        <v>5932</v>
      </c>
      <c r="B10754" s="3" t="s">
        <v>5932</v>
      </c>
      <c r="C10754" s="3" t="s">
        <v>9197</v>
      </c>
      <c r="D10754" s="4" t="str">
        <f t="shared" ref="D10754:D10756" si="1518">HYPERLINK("https://12go.asia/en/travel/Al-Sufouh-Hotel-Transfer/Dubai-Port", "12Go Link")</f>
        <v>12Go Link</v>
      </c>
      <c r="E10754" s="3" t="s">
        <v>3265</v>
      </c>
      <c r="K10754" s="5"/>
    </row>
    <row r="10755">
      <c r="A10755" s="3" t="s">
        <v>5932</v>
      </c>
      <c r="B10755" s="3" t="s">
        <v>5932</v>
      </c>
      <c r="C10755" s="3" t="s">
        <v>9197</v>
      </c>
      <c r="D10755" s="4" t="str">
        <f t="shared" si="1518"/>
        <v>12Go Link</v>
      </c>
      <c r="E10755" s="3" t="s">
        <v>3196</v>
      </c>
      <c r="K10755" s="5"/>
    </row>
    <row r="10756">
      <c r="A10756" s="3" t="s">
        <v>5932</v>
      </c>
      <c r="B10756" s="3" t="s">
        <v>5932</v>
      </c>
      <c r="C10756" s="3" t="s">
        <v>9197</v>
      </c>
      <c r="D10756" s="4" t="str">
        <f t="shared" si="1518"/>
        <v>12Go Link</v>
      </c>
      <c r="E10756" s="3" t="s">
        <v>3203</v>
      </c>
      <c r="K10756" s="5"/>
    </row>
    <row r="10757">
      <c r="A10757" s="3" t="s">
        <v>5932</v>
      </c>
      <c r="B10757" s="3" t="s">
        <v>5932</v>
      </c>
      <c r="C10757" s="3" t="s">
        <v>9198</v>
      </c>
      <c r="D10757" s="4" t="str">
        <f t="shared" ref="D10757:D10760" si="1519">HYPERLINK("https://12go.asia/en/travel/Al-Warqaa-Hotel-Transfer/Dubai-International-Airport", "12Go Link")</f>
        <v>12Go Link</v>
      </c>
      <c r="E10757" s="3" t="s">
        <v>3265</v>
      </c>
      <c r="K10757" s="5"/>
    </row>
    <row r="10758">
      <c r="A10758" s="3" t="s">
        <v>5932</v>
      </c>
      <c r="B10758" s="3" t="s">
        <v>5932</v>
      </c>
      <c r="C10758" s="3" t="s">
        <v>9198</v>
      </c>
      <c r="D10758" s="4" t="str">
        <f t="shared" si="1519"/>
        <v>12Go Link</v>
      </c>
      <c r="E10758" s="3" t="s">
        <v>3196</v>
      </c>
      <c r="K10758" s="5"/>
    </row>
    <row r="10759">
      <c r="A10759" s="3" t="s">
        <v>5932</v>
      </c>
      <c r="B10759" s="3" t="s">
        <v>5932</v>
      </c>
      <c r="C10759" s="3" t="s">
        <v>9198</v>
      </c>
      <c r="D10759" s="4" t="str">
        <f t="shared" si="1519"/>
        <v>12Go Link</v>
      </c>
      <c r="E10759" s="3" t="s">
        <v>226</v>
      </c>
      <c r="K10759" s="5"/>
    </row>
    <row r="10760">
      <c r="A10760" s="3" t="s">
        <v>5932</v>
      </c>
      <c r="B10760" s="3" t="s">
        <v>5932</v>
      </c>
      <c r="C10760" s="3" t="s">
        <v>9198</v>
      </c>
      <c r="D10760" s="4" t="str">
        <f t="shared" si="1519"/>
        <v>12Go Link</v>
      </c>
      <c r="E10760" s="3" t="s">
        <v>3203</v>
      </c>
      <c r="K10760" s="5"/>
    </row>
    <row r="10761">
      <c r="A10761" s="3" t="s">
        <v>5932</v>
      </c>
      <c r="B10761" s="3" t="s">
        <v>5932</v>
      </c>
      <c r="C10761" s="3" t="s">
        <v>9199</v>
      </c>
      <c r="D10761" s="4" t="str">
        <f t="shared" ref="D10761:D10763" si="1520">HYPERLINK("https://12go.asia/en/travel/Al-Warqaa-Hotel-Transfer/Dubai-Port", "12Go Link")</f>
        <v>12Go Link</v>
      </c>
      <c r="E10761" s="3" t="s">
        <v>3265</v>
      </c>
      <c r="K10761" s="5"/>
    </row>
    <row r="10762">
      <c r="A10762" s="3" t="s">
        <v>5932</v>
      </c>
      <c r="B10762" s="3" t="s">
        <v>5932</v>
      </c>
      <c r="C10762" s="3" t="s">
        <v>9199</v>
      </c>
      <c r="D10762" s="4" t="str">
        <f t="shared" si="1520"/>
        <v>12Go Link</v>
      </c>
      <c r="E10762" s="3" t="s">
        <v>3196</v>
      </c>
      <c r="K10762" s="5"/>
    </row>
    <row r="10763">
      <c r="A10763" s="3" t="s">
        <v>5932</v>
      </c>
      <c r="B10763" s="3" t="s">
        <v>5932</v>
      </c>
      <c r="C10763" s="3" t="s">
        <v>9199</v>
      </c>
      <c r="D10763" s="4" t="str">
        <f t="shared" si="1520"/>
        <v>12Go Link</v>
      </c>
      <c r="E10763" s="3" t="s">
        <v>3203</v>
      </c>
      <c r="K10763" s="5"/>
    </row>
    <row r="10764">
      <c r="A10764" s="3" t="s">
        <v>5932</v>
      </c>
      <c r="B10764" s="3" t="s">
        <v>5932</v>
      </c>
      <c r="C10764" s="3" t="s">
        <v>9200</v>
      </c>
      <c r="D10764" s="4" t="str">
        <f t="shared" ref="D10764:D10767" si="1521">HYPERLINK("https://12go.asia/en/travel/Arabian-Ranches-Hotel-Transfer/Dubai-International-Airport", "12Go Link")</f>
        <v>12Go Link</v>
      </c>
      <c r="E10764" s="3" t="s">
        <v>3265</v>
      </c>
      <c r="K10764" s="5"/>
    </row>
    <row r="10765">
      <c r="A10765" s="3" t="s">
        <v>5932</v>
      </c>
      <c r="B10765" s="3" t="s">
        <v>5932</v>
      </c>
      <c r="C10765" s="3" t="s">
        <v>9200</v>
      </c>
      <c r="D10765" s="4" t="str">
        <f t="shared" si="1521"/>
        <v>12Go Link</v>
      </c>
      <c r="E10765" s="3" t="s">
        <v>3196</v>
      </c>
      <c r="K10765" s="5"/>
    </row>
    <row r="10766">
      <c r="A10766" s="3" t="s">
        <v>5932</v>
      </c>
      <c r="B10766" s="3" t="s">
        <v>5932</v>
      </c>
      <c r="C10766" s="3" t="s">
        <v>9200</v>
      </c>
      <c r="D10766" s="4" t="str">
        <f t="shared" si="1521"/>
        <v>12Go Link</v>
      </c>
      <c r="E10766" s="3" t="s">
        <v>226</v>
      </c>
      <c r="K10766" s="5"/>
    </row>
    <row r="10767">
      <c r="A10767" s="3" t="s">
        <v>5932</v>
      </c>
      <c r="B10767" s="3" t="s">
        <v>5932</v>
      </c>
      <c r="C10767" s="3" t="s">
        <v>9200</v>
      </c>
      <c r="D10767" s="4" t="str">
        <f t="shared" si="1521"/>
        <v>12Go Link</v>
      </c>
      <c r="E10767" s="3" t="s">
        <v>3203</v>
      </c>
      <c r="K10767" s="5"/>
    </row>
    <row r="10768">
      <c r="A10768" s="3" t="s">
        <v>5932</v>
      </c>
      <c r="B10768" s="3" t="s">
        <v>5932</v>
      </c>
      <c r="C10768" s="3" t="s">
        <v>9201</v>
      </c>
      <c r="D10768" s="4" t="str">
        <f t="shared" ref="D10768:D10770" si="1522">HYPERLINK("https://12go.asia/en/travel/Arabian-Ranches-Hotel-Transfer/Dubai-Port", "12Go Link")</f>
        <v>12Go Link</v>
      </c>
      <c r="E10768" s="3" t="s">
        <v>3265</v>
      </c>
      <c r="K10768" s="5"/>
    </row>
    <row r="10769">
      <c r="A10769" s="3" t="s">
        <v>5932</v>
      </c>
      <c r="B10769" s="3" t="s">
        <v>5932</v>
      </c>
      <c r="C10769" s="3" t="s">
        <v>9201</v>
      </c>
      <c r="D10769" s="4" t="str">
        <f t="shared" si="1522"/>
        <v>12Go Link</v>
      </c>
      <c r="E10769" s="3" t="s">
        <v>3196</v>
      </c>
      <c r="K10769" s="5"/>
    </row>
    <row r="10770">
      <c r="A10770" s="3" t="s">
        <v>5932</v>
      </c>
      <c r="B10770" s="3" t="s">
        <v>5932</v>
      </c>
      <c r="C10770" s="3" t="s">
        <v>9201</v>
      </c>
      <c r="D10770" s="4" t="str">
        <f t="shared" si="1522"/>
        <v>12Go Link</v>
      </c>
      <c r="E10770" s="3" t="s">
        <v>3203</v>
      </c>
      <c r="K10770" s="5"/>
    </row>
    <row r="10771">
      <c r="A10771" s="3" t="s">
        <v>5932</v>
      </c>
      <c r="B10771" s="3" t="s">
        <v>5932</v>
      </c>
      <c r="C10771" s="3" t="s">
        <v>9202</v>
      </c>
      <c r="D10771" s="4" t="str">
        <f t="shared" ref="D10771:D10774" si="1523">HYPERLINK("https://12go.asia/en/travel/Bab-Al-Shams-Resort/Dubai-International-Airport", "12Go Link")</f>
        <v>12Go Link</v>
      </c>
      <c r="E10771" s="3" t="s">
        <v>3265</v>
      </c>
      <c r="K10771" s="5"/>
    </row>
    <row r="10772">
      <c r="A10772" s="3" t="s">
        <v>5932</v>
      </c>
      <c r="B10772" s="3" t="s">
        <v>5932</v>
      </c>
      <c r="C10772" s="3" t="s">
        <v>9202</v>
      </c>
      <c r="D10772" s="4" t="str">
        <f t="shared" si="1523"/>
        <v>12Go Link</v>
      </c>
      <c r="E10772" s="3" t="s">
        <v>3196</v>
      </c>
      <c r="K10772" s="5"/>
    </row>
    <row r="10773">
      <c r="A10773" s="3" t="s">
        <v>5932</v>
      </c>
      <c r="B10773" s="3" t="s">
        <v>5932</v>
      </c>
      <c r="C10773" s="3" t="s">
        <v>9202</v>
      </c>
      <c r="D10773" s="4" t="str">
        <f t="shared" si="1523"/>
        <v>12Go Link</v>
      </c>
      <c r="E10773" s="3" t="s">
        <v>226</v>
      </c>
      <c r="K10773" s="5"/>
    </row>
    <row r="10774">
      <c r="A10774" s="3" t="s">
        <v>5932</v>
      </c>
      <c r="B10774" s="3" t="s">
        <v>5932</v>
      </c>
      <c r="C10774" s="3" t="s">
        <v>9202</v>
      </c>
      <c r="D10774" s="4" t="str">
        <f t="shared" si="1523"/>
        <v>12Go Link</v>
      </c>
      <c r="E10774" s="3" t="s">
        <v>3203</v>
      </c>
      <c r="K10774" s="5"/>
    </row>
    <row r="10775">
      <c r="A10775" s="3" t="s">
        <v>5932</v>
      </c>
      <c r="B10775" s="3" t="s">
        <v>5932</v>
      </c>
      <c r="C10775" s="3" t="s">
        <v>9203</v>
      </c>
      <c r="D10775" s="4" t="str">
        <f t="shared" ref="D10775:D10776" si="1524">HYPERLINK("https://12go.asia/en/travel/Bab-Al-Shams-Resort/Dubai-Port", "12Go Link")</f>
        <v>12Go Link</v>
      </c>
      <c r="E10775" s="3" t="s">
        <v>3196</v>
      </c>
      <c r="K10775" s="5"/>
    </row>
    <row r="10776">
      <c r="A10776" s="3" t="s">
        <v>5932</v>
      </c>
      <c r="B10776" s="3" t="s">
        <v>5932</v>
      </c>
      <c r="C10776" s="3" t="s">
        <v>9203</v>
      </c>
      <c r="D10776" s="4" t="str">
        <f t="shared" si="1524"/>
        <v>12Go Link</v>
      </c>
      <c r="E10776" s="3" t="s">
        <v>3203</v>
      </c>
      <c r="K10776" s="5"/>
    </row>
    <row r="10777">
      <c r="A10777" s="3" t="s">
        <v>5932</v>
      </c>
      <c r="B10777" s="3" t="s">
        <v>5932</v>
      </c>
      <c r="C10777" s="3" t="s">
        <v>9204</v>
      </c>
      <c r="D10777" s="4" t="str">
        <f t="shared" ref="D10777:D10780" si="1525">HYPERLINK("https://12go.asia/en/travel/Barsha-Heights-Hotel-Transfer/Dubai-International-Airport", "12Go Link")</f>
        <v>12Go Link</v>
      </c>
      <c r="E10777" s="3" t="s">
        <v>3265</v>
      </c>
      <c r="K10777" s="5"/>
    </row>
    <row r="10778">
      <c r="A10778" s="3" t="s">
        <v>5932</v>
      </c>
      <c r="B10778" s="3" t="s">
        <v>5932</v>
      </c>
      <c r="C10778" s="3" t="s">
        <v>9204</v>
      </c>
      <c r="D10778" s="4" t="str">
        <f t="shared" si="1525"/>
        <v>12Go Link</v>
      </c>
      <c r="E10778" s="3" t="s">
        <v>3196</v>
      </c>
      <c r="K10778" s="5"/>
    </row>
    <row r="10779">
      <c r="A10779" s="3" t="s">
        <v>5932</v>
      </c>
      <c r="B10779" s="3" t="s">
        <v>5932</v>
      </c>
      <c r="C10779" s="3" t="s">
        <v>9204</v>
      </c>
      <c r="D10779" s="4" t="str">
        <f t="shared" si="1525"/>
        <v>12Go Link</v>
      </c>
      <c r="E10779" s="3" t="s">
        <v>226</v>
      </c>
      <c r="K10779" s="5"/>
    </row>
    <row r="10780">
      <c r="A10780" s="3" t="s">
        <v>5932</v>
      </c>
      <c r="B10780" s="3" t="s">
        <v>5932</v>
      </c>
      <c r="C10780" s="3" t="s">
        <v>9204</v>
      </c>
      <c r="D10780" s="4" t="str">
        <f t="shared" si="1525"/>
        <v>12Go Link</v>
      </c>
      <c r="E10780" s="3" t="s">
        <v>3203</v>
      </c>
      <c r="K10780" s="5"/>
    </row>
    <row r="10781">
      <c r="A10781" s="3" t="s">
        <v>5932</v>
      </c>
      <c r="B10781" s="3" t="s">
        <v>5932</v>
      </c>
      <c r="C10781" s="3" t="s">
        <v>9205</v>
      </c>
      <c r="D10781" s="4" t="str">
        <f t="shared" ref="D10781:D10783" si="1526">HYPERLINK("https://12go.asia/en/travel/Barsha-Heights-Hotel-Transfer/Dubai-Port", "12Go Link")</f>
        <v>12Go Link</v>
      </c>
      <c r="E10781" s="3" t="s">
        <v>3265</v>
      </c>
      <c r="K10781" s="5"/>
    </row>
    <row r="10782">
      <c r="A10782" s="3" t="s">
        <v>5932</v>
      </c>
      <c r="B10782" s="3" t="s">
        <v>5932</v>
      </c>
      <c r="C10782" s="3" t="s">
        <v>9205</v>
      </c>
      <c r="D10782" s="4" t="str">
        <f t="shared" si="1526"/>
        <v>12Go Link</v>
      </c>
      <c r="E10782" s="3" t="s">
        <v>3196</v>
      </c>
      <c r="K10782" s="5"/>
    </row>
    <row r="10783">
      <c r="A10783" s="3" t="s">
        <v>5932</v>
      </c>
      <c r="B10783" s="3" t="s">
        <v>5932</v>
      </c>
      <c r="C10783" s="3" t="s">
        <v>9205</v>
      </c>
      <c r="D10783" s="4" t="str">
        <f t="shared" si="1526"/>
        <v>12Go Link</v>
      </c>
      <c r="E10783" s="3" t="s">
        <v>3203</v>
      </c>
      <c r="K10783" s="5"/>
    </row>
    <row r="10784">
      <c r="A10784" s="3" t="s">
        <v>5932</v>
      </c>
      <c r="B10784" s="3" t="s">
        <v>5932</v>
      </c>
      <c r="C10784" s="3" t="s">
        <v>9206</v>
      </c>
      <c r="D10784" s="4" t="str">
        <f t="shared" ref="D10784:D10787" si="1527">HYPERLINK("https://12go.asia/en/travel/Bur-Dubai-Hotel-Transfer/Dubai-International-Airport", "12Go Link")</f>
        <v>12Go Link</v>
      </c>
      <c r="E10784" s="3" t="s">
        <v>3265</v>
      </c>
      <c r="K10784" s="5"/>
    </row>
    <row r="10785">
      <c r="A10785" s="3" t="s">
        <v>5932</v>
      </c>
      <c r="B10785" s="3" t="s">
        <v>5932</v>
      </c>
      <c r="C10785" s="3" t="s">
        <v>9206</v>
      </c>
      <c r="D10785" s="4" t="str">
        <f t="shared" si="1527"/>
        <v>12Go Link</v>
      </c>
      <c r="E10785" s="3" t="s">
        <v>3196</v>
      </c>
      <c r="K10785" s="5"/>
    </row>
    <row r="10786">
      <c r="A10786" s="3" t="s">
        <v>5932</v>
      </c>
      <c r="B10786" s="3" t="s">
        <v>5932</v>
      </c>
      <c r="C10786" s="3" t="s">
        <v>9206</v>
      </c>
      <c r="D10786" s="4" t="str">
        <f t="shared" si="1527"/>
        <v>12Go Link</v>
      </c>
      <c r="E10786" s="3" t="s">
        <v>226</v>
      </c>
      <c r="K10786" s="5"/>
    </row>
    <row r="10787">
      <c r="A10787" s="3" t="s">
        <v>5932</v>
      </c>
      <c r="B10787" s="3" t="s">
        <v>5932</v>
      </c>
      <c r="C10787" s="3" t="s">
        <v>9206</v>
      </c>
      <c r="D10787" s="4" t="str">
        <f t="shared" si="1527"/>
        <v>12Go Link</v>
      </c>
      <c r="E10787" s="3" t="s">
        <v>3203</v>
      </c>
      <c r="K10787" s="5"/>
    </row>
    <row r="10788">
      <c r="A10788" s="3" t="s">
        <v>5932</v>
      </c>
      <c r="B10788" s="3" t="s">
        <v>5932</v>
      </c>
      <c r="C10788" s="3" t="s">
        <v>9207</v>
      </c>
      <c r="D10788" s="4" t="str">
        <f t="shared" ref="D10788:D10790" si="1528">HYPERLINK("https://12go.asia/en/travel/Bur-Dubai-Hotel-Transfer/Dubai-Port", "12Go Link")</f>
        <v>12Go Link</v>
      </c>
      <c r="E10788" s="3" t="s">
        <v>3265</v>
      </c>
      <c r="K10788" s="5"/>
    </row>
    <row r="10789">
      <c r="A10789" s="3" t="s">
        <v>5932</v>
      </c>
      <c r="B10789" s="3" t="s">
        <v>5932</v>
      </c>
      <c r="C10789" s="3" t="s">
        <v>9207</v>
      </c>
      <c r="D10789" s="4" t="str">
        <f t="shared" si="1528"/>
        <v>12Go Link</v>
      </c>
      <c r="E10789" s="3" t="s">
        <v>3196</v>
      </c>
      <c r="K10789" s="5"/>
    </row>
    <row r="10790">
      <c r="A10790" s="3" t="s">
        <v>5932</v>
      </c>
      <c r="B10790" s="3" t="s">
        <v>5932</v>
      </c>
      <c r="C10790" s="3" t="s">
        <v>9207</v>
      </c>
      <c r="D10790" s="4" t="str">
        <f t="shared" si="1528"/>
        <v>12Go Link</v>
      </c>
      <c r="E10790" s="3" t="s">
        <v>3203</v>
      </c>
      <c r="K10790" s="5"/>
    </row>
    <row r="10791">
      <c r="A10791" s="3" t="s">
        <v>5932</v>
      </c>
      <c r="B10791" s="3" t="s">
        <v>5932</v>
      </c>
      <c r="C10791" s="3" t="s">
        <v>9208</v>
      </c>
      <c r="D10791" s="4" t="str">
        <f t="shared" ref="D10791:D10794" si="1529">HYPERLINK("https://12go.asia/en/travel/Burj-Al-Arab/Dubai-International-Airport", "12Go Link")</f>
        <v>12Go Link</v>
      </c>
      <c r="E10791" s="3" t="s">
        <v>3265</v>
      </c>
      <c r="K10791" s="5"/>
    </row>
    <row r="10792">
      <c r="A10792" s="3" t="s">
        <v>5932</v>
      </c>
      <c r="B10792" s="3" t="s">
        <v>5932</v>
      </c>
      <c r="C10792" s="3" t="s">
        <v>9208</v>
      </c>
      <c r="D10792" s="4" t="str">
        <f t="shared" si="1529"/>
        <v>12Go Link</v>
      </c>
      <c r="E10792" s="3" t="s">
        <v>3196</v>
      </c>
      <c r="K10792" s="5"/>
    </row>
    <row r="10793">
      <c r="A10793" s="3" t="s">
        <v>5932</v>
      </c>
      <c r="B10793" s="3" t="s">
        <v>5932</v>
      </c>
      <c r="C10793" s="3" t="s">
        <v>9208</v>
      </c>
      <c r="D10793" s="4" t="str">
        <f t="shared" si="1529"/>
        <v>12Go Link</v>
      </c>
      <c r="E10793" s="3" t="s">
        <v>226</v>
      </c>
      <c r="K10793" s="5"/>
    </row>
    <row r="10794">
      <c r="A10794" s="3" t="s">
        <v>5932</v>
      </c>
      <c r="B10794" s="3" t="s">
        <v>5932</v>
      </c>
      <c r="C10794" s="3" t="s">
        <v>9208</v>
      </c>
      <c r="D10794" s="4" t="str">
        <f t="shared" si="1529"/>
        <v>12Go Link</v>
      </c>
      <c r="E10794" s="3" t="s">
        <v>3203</v>
      </c>
      <c r="K10794" s="5"/>
    </row>
    <row r="10795">
      <c r="A10795" s="3" t="s">
        <v>5932</v>
      </c>
      <c r="B10795" s="3" t="s">
        <v>5932</v>
      </c>
      <c r="C10795" s="3" t="s">
        <v>9209</v>
      </c>
      <c r="D10795" s="4" t="str">
        <f t="shared" ref="D10795:D10797" si="1530">HYPERLINK("https://12go.asia/en/travel/Burj-Al-Arab/Dubai-Port", "12Go Link")</f>
        <v>12Go Link</v>
      </c>
      <c r="E10795" s="3" t="s">
        <v>3265</v>
      </c>
      <c r="K10795" s="5"/>
    </row>
    <row r="10796">
      <c r="A10796" s="3" t="s">
        <v>5932</v>
      </c>
      <c r="B10796" s="3" t="s">
        <v>5932</v>
      </c>
      <c r="C10796" s="3" t="s">
        <v>9209</v>
      </c>
      <c r="D10796" s="4" t="str">
        <f t="shared" si="1530"/>
        <v>12Go Link</v>
      </c>
      <c r="E10796" s="3" t="s">
        <v>3196</v>
      </c>
      <c r="K10796" s="5"/>
    </row>
    <row r="10797">
      <c r="A10797" s="3" t="s">
        <v>5932</v>
      </c>
      <c r="B10797" s="3" t="s">
        <v>5932</v>
      </c>
      <c r="C10797" s="3" t="s">
        <v>9209</v>
      </c>
      <c r="D10797" s="4" t="str">
        <f t="shared" si="1530"/>
        <v>12Go Link</v>
      </c>
      <c r="E10797" s="3" t="s">
        <v>3203</v>
      </c>
      <c r="K10797" s="5"/>
    </row>
    <row r="10798">
      <c r="A10798" s="3" t="s">
        <v>5932</v>
      </c>
      <c r="B10798" s="3" t="s">
        <v>5932</v>
      </c>
      <c r="C10798" s="3" t="s">
        <v>9210</v>
      </c>
      <c r="D10798" s="4" t="str">
        <f t="shared" ref="D10798:D10801" si="1531">HYPERLINK("https://12go.asia/en/travel/Burj-Khalifa/Dubai-International-Airport", "12Go Link")</f>
        <v>12Go Link</v>
      </c>
      <c r="E10798" s="3" t="s">
        <v>3265</v>
      </c>
      <c r="K10798" s="5"/>
    </row>
    <row r="10799">
      <c r="A10799" s="3" t="s">
        <v>5932</v>
      </c>
      <c r="B10799" s="3" t="s">
        <v>5932</v>
      </c>
      <c r="C10799" s="3" t="s">
        <v>9210</v>
      </c>
      <c r="D10799" s="4" t="str">
        <f t="shared" si="1531"/>
        <v>12Go Link</v>
      </c>
      <c r="E10799" s="3" t="s">
        <v>3196</v>
      </c>
      <c r="K10799" s="5"/>
    </row>
    <row r="10800">
      <c r="A10800" s="3" t="s">
        <v>5932</v>
      </c>
      <c r="B10800" s="3" t="s">
        <v>5932</v>
      </c>
      <c r="C10800" s="3" t="s">
        <v>9210</v>
      </c>
      <c r="D10800" s="4" t="str">
        <f t="shared" si="1531"/>
        <v>12Go Link</v>
      </c>
      <c r="E10800" s="3" t="s">
        <v>226</v>
      </c>
      <c r="K10800" s="5"/>
    </row>
    <row r="10801">
      <c r="A10801" s="3" t="s">
        <v>5932</v>
      </c>
      <c r="B10801" s="3" t="s">
        <v>5932</v>
      </c>
      <c r="C10801" s="3" t="s">
        <v>9210</v>
      </c>
      <c r="D10801" s="4" t="str">
        <f t="shared" si="1531"/>
        <v>12Go Link</v>
      </c>
      <c r="E10801" s="3" t="s">
        <v>3203</v>
      </c>
      <c r="K10801" s="5"/>
    </row>
    <row r="10802">
      <c r="A10802" s="3" t="s">
        <v>5932</v>
      </c>
      <c r="B10802" s="3" t="s">
        <v>5932</v>
      </c>
      <c r="C10802" s="3" t="s">
        <v>9211</v>
      </c>
      <c r="D10802" s="4" t="str">
        <f t="shared" ref="D10802:D10804" si="1532">HYPERLINK("https://12go.asia/en/travel/Burj-Khalifa/Dubai-Port", "12Go Link")</f>
        <v>12Go Link</v>
      </c>
      <c r="E10802" s="3" t="s">
        <v>3265</v>
      </c>
      <c r="K10802" s="5"/>
    </row>
    <row r="10803">
      <c r="A10803" s="3" t="s">
        <v>5932</v>
      </c>
      <c r="B10803" s="3" t="s">
        <v>5932</v>
      </c>
      <c r="C10803" s="3" t="s">
        <v>9211</v>
      </c>
      <c r="D10803" s="4" t="str">
        <f t="shared" si="1532"/>
        <v>12Go Link</v>
      </c>
      <c r="E10803" s="3" t="s">
        <v>3196</v>
      </c>
      <c r="K10803" s="5"/>
    </row>
    <row r="10804">
      <c r="A10804" s="3" t="s">
        <v>5932</v>
      </c>
      <c r="B10804" s="3" t="s">
        <v>5932</v>
      </c>
      <c r="C10804" s="3" t="s">
        <v>9211</v>
      </c>
      <c r="D10804" s="4" t="str">
        <f t="shared" si="1532"/>
        <v>12Go Link</v>
      </c>
      <c r="E10804" s="3" t="s">
        <v>3203</v>
      </c>
      <c r="K10804" s="5"/>
    </row>
    <row r="10805">
      <c r="A10805" s="3" t="s">
        <v>5932</v>
      </c>
      <c r="B10805" s="3" t="s">
        <v>5932</v>
      </c>
      <c r="C10805" s="3" t="s">
        <v>9212</v>
      </c>
      <c r="D10805" s="4" t="str">
        <f t="shared" ref="D10805:D10808" si="1533">HYPERLINK("https://12go.asia/en/travel/City-Of-Arabia-Transfer/Dubai-International-Airport", "12Go Link")</f>
        <v>12Go Link</v>
      </c>
      <c r="E10805" s="3" t="s">
        <v>3265</v>
      </c>
      <c r="K10805" s="5"/>
    </row>
    <row r="10806">
      <c r="A10806" s="3" t="s">
        <v>5932</v>
      </c>
      <c r="B10806" s="3" t="s">
        <v>5932</v>
      </c>
      <c r="C10806" s="3" t="s">
        <v>9212</v>
      </c>
      <c r="D10806" s="4" t="str">
        <f t="shared" si="1533"/>
        <v>12Go Link</v>
      </c>
      <c r="E10806" s="3" t="s">
        <v>3196</v>
      </c>
      <c r="K10806" s="5"/>
    </row>
    <row r="10807">
      <c r="A10807" s="3" t="s">
        <v>5932</v>
      </c>
      <c r="B10807" s="3" t="s">
        <v>5932</v>
      </c>
      <c r="C10807" s="3" t="s">
        <v>9212</v>
      </c>
      <c r="D10807" s="4" t="str">
        <f t="shared" si="1533"/>
        <v>12Go Link</v>
      </c>
      <c r="E10807" s="3" t="s">
        <v>226</v>
      </c>
      <c r="K10807" s="5"/>
    </row>
    <row r="10808">
      <c r="A10808" s="3" t="s">
        <v>5932</v>
      </c>
      <c r="B10808" s="3" t="s">
        <v>5932</v>
      </c>
      <c r="C10808" s="3" t="s">
        <v>9212</v>
      </c>
      <c r="D10808" s="4" t="str">
        <f t="shared" si="1533"/>
        <v>12Go Link</v>
      </c>
      <c r="E10808" s="3" t="s">
        <v>3203</v>
      </c>
      <c r="K10808" s="5"/>
    </row>
    <row r="10809">
      <c r="A10809" s="3" t="s">
        <v>5932</v>
      </c>
      <c r="B10809" s="3" t="s">
        <v>5932</v>
      </c>
      <c r="C10809" s="3" t="s">
        <v>9213</v>
      </c>
      <c r="D10809" s="4" t="str">
        <f t="shared" ref="D10809:D10811" si="1534">HYPERLINK("https://12go.asia/en/travel/City-Of-Arabia-Transfer/Dubai-Port", "12Go Link")</f>
        <v>12Go Link</v>
      </c>
      <c r="E10809" s="3" t="s">
        <v>3265</v>
      </c>
      <c r="K10809" s="5"/>
    </row>
    <row r="10810">
      <c r="A10810" s="3" t="s">
        <v>5932</v>
      </c>
      <c r="B10810" s="3" t="s">
        <v>5932</v>
      </c>
      <c r="C10810" s="3" t="s">
        <v>9213</v>
      </c>
      <c r="D10810" s="4" t="str">
        <f t="shared" si="1534"/>
        <v>12Go Link</v>
      </c>
      <c r="E10810" s="3" t="s">
        <v>3196</v>
      </c>
      <c r="K10810" s="5"/>
    </row>
    <row r="10811">
      <c r="A10811" s="3" t="s">
        <v>5932</v>
      </c>
      <c r="B10811" s="3" t="s">
        <v>5932</v>
      </c>
      <c r="C10811" s="3" t="s">
        <v>9213</v>
      </c>
      <c r="D10811" s="4" t="str">
        <f t="shared" si="1534"/>
        <v>12Go Link</v>
      </c>
      <c r="E10811" s="3" t="s">
        <v>3203</v>
      </c>
      <c r="K10811" s="5"/>
    </row>
    <row r="10812">
      <c r="A10812" s="3" t="s">
        <v>5932</v>
      </c>
      <c r="B10812" s="3" t="s">
        <v>5932</v>
      </c>
      <c r="C10812" s="3" t="s">
        <v>9214</v>
      </c>
      <c r="D10812" s="4" t="str">
        <f t="shared" ref="D10812:D10815" si="1535">HYPERLINK("https://12go.asia/en/travel/Deira-Hotel-Transfer/Dubai-International-Airport", "12Go Link")</f>
        <v>12Go Link</v>
      </c>
      <c r="E10812" s="3" t="s">
        <v>3265</v>
      </c>
      <c r="K10812" s="5"/>
    </row>
    <row r="10813">
      <c r="A10813" s="3" t="s">
        <v>5932</v>
      </c>
      <c r="B10813" s="3" t="s">
        <v>5932</v>
      </c>
      <c r="C10813" s="3" t="s">
        <v>9214</v>
      </c>
      <c r="D10813" s="4" t="str">
        <f t="shared" si="1535"/>
        <v>12Go Link</v>
      </c>
      <c r="E10813" s="3" t="s">
        <v>3196</v>
      </c>
      <c r="K10813" s="5"/>
    </row>
    <row r="10814">
      <c r="A10814" s="3" t="s">
        <v>5932</v>
      </c>
      <c r="B10814" s="3" t="s">
        <v>5932</v>
      </c>
      <c r="C10814" s="3" t="s">
        <v>9214</v>
      </c>
      <c r="D10814" s="4" t="str">
        <f t="shared" si="1535"/>
        <v>12Go Link</v>
      </c>
      <c r="E10814" s="3" t="s">
        <v>226</v>
      </c>
      <c r="K10814" s="5"/>
    </row>
    <row r="10815">
      <c r="A10815" s="3" t="s">
        <v>5932</v>
      </c>
      <c r="B10815" s="3" t="s">
        <v>5932</v>
      </c>
      <c r="C10815" s="3" t="s">
        <v>9214</v>
      </c>
      <c r="D10815" s="4" t="str">
        <f t="shared" si="1535"/>
        <v>12Go Link</v>
      </c>
      <c r="E10815" s="3" t="s">
        <v>3203</v>
      </c>
      <c r="K10815" s="5"/>
    </row>
    <row r="10816">
      <c r="A10816" s="3" t="s">
        <v>5932</v>
      </c>
      <c r="B10816" s="3" t="s">
        <v>5932</v>
      </c>
      <c r="C10816" s="3" t="s">
        <v>9215</v>
      </c>
      <c r="D10816" s="4" t="str">
        <f t="shared" ref="D10816:D10818" si="1536">HYPERLINK("https://12go.asia/en/travel/Deira-Hotel-Transfer/Dubai-Port", "12Go Link")</f>
        <v>12Go Link</v>
      </c>
      <c r="E10816" s="3" t="s">
        <v>3265</v>
      </c>
      <c r="K10816" s="5"/>
    </row>
    <row r="10817">
      <c r="A10817" s="3" t="s">
        <v>5932</v>
      </c>
      <c r="B10817" s="3" t="s">
        <v>5932</v>
      </c>
      <c r="C10817" s="3" t="s">
        <v>9215</v>
      </c>
      <c r="D10817" s="4" t="str">
        <f t="shared" si="1536"/>
        <v>12Go Link</v>
      </c>
      <c r="E10817" s="3" t="s">
        <v>3196</v>
      </c>
      <c r="K10817" s="5"/>
    </row>
    <row r="10818">
      <c r="A10818" s="3" t="s">
        <v>5932</v>
      </c>
      <c r="B10818" s="3" t="s">
        <v>5932</v>
      </c>
      <c r="C10818" s="3" t="s">
        <v>9215</v>
      </c>
      <c r="D10818" s="4" t="str">
        <f t="shared" si="1536"/>
        <v>12Go Link</v>
      </c>
      <c r="E10818" s="3" t="s">
        <v>3203</v>
      </c>
      <c r="K10818" s="5"/>
    </row>
    <row r="10819">
      <c r="A10819" s="3" t="s">
        <v>5932</v>
      </c>
      <c r="B10819" s="3" t="s">
        <v>5932</v>
      </c>
      <c r="C10819" s="3" t="s">
        <v>9216</v>
      </c>
      <c r="D10819" s="4" t="str">
        <f t="shared" ref="D10819:D10822" si="1537">HYPERLINK("https://12go.asia/en/travel/Dubai-Festival-City-Transfer/Dubai-International-Airport", "12Go Link")</f>
        <v>12Go Link</v>
      </c>
      <c r="E10819" s="3" t="s">
        <v>3265</v>
      </c>
      <c r="K10819" s="5"/>
    </row>
    <row r="10820">
      <c r="A10820" s="3" t="s">
        <v>5932</v>
      </c>
      <c r="B10820" s="3" t="s">
        <v>5932</v>
      </c>
      <c r="C10820" s="3" t="s">
        <v>9216</v>
      </c>
      <c r="D10820" s="4" t="str">
        <f t="shared" si="1537"/>
        <v>12Go Link</v>
      </c>
      <c r="E10820" s="3" t="s">
        <v>3196</v>
      </c>
      <c r="K10820" s="5"/>
    </row>
    <row r="10821">
      <c r="A10821" s="3" t="s">
        <v>5932</v>
      </c>
      <c r="B10821" s="3" t="s">
        <v>5932</v>
      </c>
      <c r="C10821" s="3" t="s">
        <v>9216</v>
      </c>
      <c r="D10821" s="4" t="str">
        <f t="shared" si="1537"/>
        <v>12Go Link</v>
      </c>
      <c r="E10821" s="3" t="s">
        <v>226</v>
      </c>
      <c r="K10821" s="5"/>
    </row>
    <row r="10822">
      <c r="A10822" s="3" t="s">
        <v>5932</v>
      </c>
      <c r="B10822" s="3" t="s">
        <v>5932</v>
      </c>
      <c r="C10822" s="3" t="s">
        <v>9216</v>
      </c>
      <c r="D10822" s="4" t="str">
        <f t="shared" si="1537"/>
        <v>12Go Link</v>
      </c>
      <c r="E10822" s="3" t="s">
        <v>3203</v>
      </c>
      <c r="K10822" s="5"/>
    </row>
    <row r="10823">
      <c r="A10823" s="3" t="s">
        <v>5932</v>
      </c>
      <c r="B10823" s="3" t="s">
        <v>5932</v>
      </c>
      <c r="C10823" s="3" t="s">
        <v>9217</v>
      </c>
      <c r="D10823" s="4" t="str">
        <f t="shared" ref="D10823:D10825" si="1538">HYPERLINK("https://12go.asia/en/travel/Dubai-Festival-City-Transfer/Dubai-Port", "12Go Link")</f>
        <v>12Go Link</v>
      </c>
      <c r="E10823" s="3" t="s">
        <v>3265</v>
      </c>
      <c r="K10823" s="5"/>
    </row>
    <row r="10824">
      <c r="A10824" s="3" t="s">
        <v>5932</v>
      </c>
      <c r="B10824" s="3" t="s">
        <v>5932</v>
      </c>
      <c r="C10824" s="3" t="s">
        <v>9217</v>
      </c>
      <c r="D10824" s="4" t="str">
        <f t="shared" si="1538"/>
        <v>12Go Link</v>
      </c>
      <c r="E10824" s="3" t="s">
        <v>3196</v>
      </c>
      <c r="K10824" s="5"/>
    </row>
    <row r="10825">
      <c r="A10825" s="3" t="s">
        <v>5932</v>
      </c>
      <c r="B10825" s="3" t="s">
        <v>5932</v>
      </c>
      <c r="C10825" s="3" t="s">
        <v>9217</v>
      </c>
      <c r="D10825" s="4" t="str">
        <f t="shared" si="1538"/>
        <v>12Go Link</v>
      </c>
      <c r="E10825" s="3" t="s">
        <v>3203</v>
      </c>
      <c r="K10825" s="5"/>
    </row>
    <row r="10826">
      <c r="A10826" s="3" t="s">
        <v>5932</v>
      </c>
      <c r="B10826" s="3" t="s">
        <v>5932</v>
      </c>
      <c r="C10826" s="3" t="s">
        <v>9218</v>
      </c>
      <c r="D10826" s="4" t="str">
        <f t="shared" ref="D10826:D10829" si="1539">HYPERLINK("https://12go.asia/en/travel/Dubai-Harbour-Cruise-Terminal/Dubai-International-Airport", "12Go Link")</f>
        <v>12Go Link</v>
      </c>
      <c r="E10826" s="3" t="s">
        <v>3265</v>
      </c>
      <c r="K10826" s="5"/>
    </row>
    <row r="10827">
      <c r="A10827" s="3" t="s">
        <v>5932</v>
      </c>
      <c r="B10827" s="3" t="s">
        <v>5932</v>
      </c>
      <c r="C10827" s="3" t="s">
        <v>9218</v>
      </c>
      <c r="D10827" s="4" t="str">
        <f t="shared" si="1539"/>
        <v>12Go Link</v>
      </c>
      <c r="E10827" s="3" t="s">
        <v>3196</v>
      </c>
      <c r="K10827" s="5"/>
    </row>
    <row r="10828">
      <c r="A10828" s="3" t="s">
        <v>5932</v>
      </c>
      <c r="B10828" s="3" t="s">
        <v>5932</v>
      </c>
      <c r="C10828" s="3" t="s">
        <v>9218</v>
      </c>
      <c r="D10828" s="4" t="str">
        <f t="shared" si="1539"/>
        <v>12Go Link</v>
      </c>
      <c r="E10828" s="3" t="s">
        <v>226</v>
      </c>
      <c r="K10828" s="5"/>
    </row>
    <row r="10829">
      <c r="A10829" s="3" t="s">
        <v>5932</v>
      </c>
      <c r="B10829" s="3" t="s">
        <v>5932</v>
      </c>
      <c r="C10829" s="3" t="s">
        <v>9218</v>
      </c>
      <c r="D10829" s="4" t="str">
        <f t="shared" si="1539"/>
        <v>12Go Link</v>
      </c>
      <c r="E10829" s="3" t="s">
        <v>3203</v>
      </c>
      <c r="K10829" s="5"/>
    </row>
    <row r="10830">
      <c r="A10830" s="3" t="s">
        <v>5932</v>
      </c>
      <c r="B10830" s="3" t="s">
        <v>5932</v>
      </c>
      <c r="C10830" s="3" t="s">
        <v>9219</v>
      </c>
      <c r="D10830" s="4" t="str">
        <f t="shared" ref="D10830:D10833" si="1540">HYPERLINK("https://12go.asia/en/travel/Dubai-Hotel-Transfer/Dubai-International-Airport", "12Go Link")</f>
        <v>12Go Link</v>
      </c>
      <c r="E10830" s="3" t="s">
        <v>3265</v>
      </c>
      <c r="K10830" s="5"/>
    </row>
    <row r="10831">
      <c r="A10831" s="3" t="s">
        <v>5932</v>
      </c>
      <c r="B10831" s="3" t="s">
        <v>5932</v>
      </c>
      <c r="C10831" s="3" t="s">
        <v>9219</v>
      </c>
      <c r="D10831" s="4" t="str">
        <f t="shared" si="1540"/>
        <v>12Go Link</v>
      </c>
      <c r="E10831" s="3" t="s">
        <v>3196</v>
      </c>
      <c r="K10831" s="5"/>
    </row>
    <row r="10832">
      <c r="A10832" s="3" t="s">
        <v>5932</v>
      </c>
      <c r="B10832" s="3" t="s">
        <v>5932</v>
      </c>
      <c r="C10832" s="3" t="s">
        <v>9219</v>
      </c>
      <c r="D10832" s="4" t="str">
        <f t="shared" si="1540"/>
        <v>12Go Link</v>
      </c>
      <c r="E10832" s="3" t="s">
        <v>226</v>
      </c>
      <c r="K10832" s="5"/>
    </row>
    <row r="10833">
      <c r="A10833" s="3" t="s">
        <v>5932</v>
      </c>
      <c r="B10833" s="3" t="s">
        <v>5932</v>
      </c>
      <c r="C10833" s="3" t="s">
        <v>9219</v>
      </c>
      <c r="D10833" s="4" t="str">
        <f t="shared" si="1540"/>
        <v>12Go Link</v>
      </c>
      <c r="E10833" s="3" t="s">
        <v>3203</v>
      </c>
      <c r="K10833" s="5"/>
    </row>
    <row r="10834">
      <c r="A10834" s="3" t="s">
        <v>5932</v>
      </c>
      <c r="B10834" s="3" t="s">
        <v>5932</v>
      </c>
      <c r="C10834" s="3" t="s">
        <v>9220</v>
      </c>
      <c r="D10834" s="4" t="str">
        <f t="shared" ref="D10834:D10836" si="1541">HYPERLINK("https://12go.asia/en/travel/Dubai-Hotel-Transfer/Dubai-Port", "12Go Link")</f>
        <v>12Go Link</v>
      </c>
      <c r="E10834" s="3" t="s">
        <v>3265</v>
      </c>
      <c r="K10834" s="5"/>
    </row>
    <row r="10835">
      <c r="A10835" s="3" t="s">
        <v>5932</v>
      </c>
      <c r="B10835" s="3" t="s">
        <v>5932</v>
      </c>
      <c r="C10835" s="3" t="s">
        <v>9220</v>
      </c>
      <c r="D10835" s="4" t="str">
        <f t="shared" si="1541"/>
        <v>12Go Link</v>
      </c>
      <c r="E10835" s="3" t="s">
        <v>3196</v>
      </c>
      <c r="K10835" s="5"/>
    </row>
    <row r="10836">
      <c r="A10836" s="3" t="s">
        <v>5932</v>
      </c>
      <c r="B10836" s="3" t="s">
        <v>5932</v>
      </c>
      <c r="C10836" s="3" t="s">
        <v>9220</v>
      </c>
      <c r="D10836" s="4" t="str">
        <f t="shared" si="1541"/>
        <v>12Go Link</v>
      </c>
      <c r="E10836" s="3" t="s">
        <v>3203</v>
      </c>
      <c r="K10836" s="5"/>
    </row>
    <row r="10837">
      <c r="A10837" s="3" t="s">
        <v>5932</v>
      </c>
      <c r="B10837" s="3" t="s">
        <v>5932</v>
      </c>
      <c r="C10837" s="3" t="s">
        <v>9221</v>
      </c>
      <c r="D10837" s="4" t="str">
        <f t="shared" ref="D10837:D10840" si="1542">HYPERLINK("https://12go.asia/en/travel/Dubai-International-Airport/Al-Barsha-Hotel-Transfer", "12Go Link")</f>
        <v>12Go Link</v>
      </c>
      <c r="E10837" s="3" t="s">
        <v>3265</v>
      </c>
      <c r="K10837" s="5"/>
    </row>
    <row r="10838">
      <c r="A10838" s="3" t="s">
        <v>5932</v>
      </c>
      <c r="B10838" s="3" t="s">
        <v>5932</v>
      </c>
      <c r="C10838" s="3" t="s">
        <v>9221</v>
      </c>
      <c r="D10838" s="4" t="str">
        <f t="shared" si="1542"/>
        <v>12Go Link</v>
      </c>
      <c r="E10838" s="3" t="s">
        <v>3196</v>
      </c>
      <c r="K10838" s="5"/>
    </row>
    <row r="10839">
      <c r="A10839" s="3" t="s">
        <v>5932</v>
      </c>
      <c r="B10839" s="3" t="s">
        <v>5932</v>
      </c>
      <c r="C10839" s="3" t="s">
        <v>9221</v>
      </c>
      <c r="D10839" s="4" t="str">
        <f t="shared" si="1542"/>
        <v>12Go Link</v>
      </c>
      <c r="E10839" s="3" t="s">
        <v>226</v>
      </c>
      <c r="K10839" s="5"/>
    </row>
    <row r="10840">
      <c r="A10840" s="3" t="s">
        <v>5932</v>
      </c>
      <c r="B10840" s="3" t="s">
        <v>5932</v>
      </c>
      <c r="C10840" s="3" t="s">
        <v>9221</v>
      </c>
      <c r="D10840" s="4" t="str">
        <f t="shared" si="1542"/>
        <v>12Go Link</v>
      </c>
      <c r="E10840" s="3" t="s">
        <v>3203</v>
      </c>
      <c r="K10840" s="5"/>
    </row>
    <row r="10841">
      <c r="A10841" s="3" t="s">
        <v>5932</v>
      </c>
      <c r="B10841" s="3" t="s">
        <v>5932</v>
      </c>
      <c r="C10841" s="3" t="s">
        <v>9222</v>
      </c>
      <c r="D10841" s="4" t="str">
        <f t="shared" ref="D10841:D10844" si="1543">HYPERLINK("https://12go.asia/en/travel/Dubai-International-Airport/Al-Maktoum-International-Airport", "12Go Link")</f>
        <v>12Go Link</v>
      </c>
      <c r="E10841" s="3" t="s">
        <v>3265</v>
      </c>
      <c r="K10841" s="5"/>
    </row>
    <row r="10842">
      <c r="A10842" s="3" t="s">
        <v>5932</v>
      </c>
      <c r="B10842" s="3" t="s">
        <v>5932</v>
      </c>
      <c r="C10842" s="3" t="s">
        <v>9222</v>
      </c>
      <c r="D10842" s="4" t="str">
        <f t="shared" si="1543"/>
        <v>12Go Link</v>
      </c>
      <c r="E10842" s="3" t="s">
        <v>3196</v>
      </c>
      <c r="K10842" s="5"/>
    </row>
    <row r="10843">
      <c r="A10843" s="3" t="s">
        <v>5932</v>
      </c>
      <c r="B10843" s="3" t="s">
        <v>5932</v>
      </c>
      <c r="C10843" s="3" t="s">
        <v>9222</v>
      </c>
      <c r="D10843" s="4" t="str">
        <f t="shared" si="1543"/>
        <v>12Go Link</v>
      </c>
      <c r="E10843" s="3" t="s">
        <v>226</v>
      </c>
      <c r="K10843" s="5"/>
    </row>
    <row r="10844">
      <c r="A10844" s="3" t="s">
        <v>5932</v>
      </c>
      <c r="B10844" s="3" t="s">
        <v>5932</v>
      </c>
      <c r="C10844" s="3" t="s">
        <v>9222</v>
      </c>
      <c r="D10844" s="4" t="str">
        <f t="shared" si="1543"/>
        <v>12Go Link</v>
      </c>
      <c r="E10844" s="3" t="s">
        <v>3203</v>
      </c>
      <c r="K10844" s="5"/>
    </row>
    <row r="10845">
      <c r="A10845" s="3" t="s">
        <v>5932</v>
      </c>
      <c r="B10845" s="3" t="s">
        <v>5932</v>
      </c>
      <c r="C10845" s="3" t="s">
        <v>9223</v>
      </c>
      <c r="D10845" s="4" t="str">
        <f t="shared" ref="D10845:D10848" si="1544">HYPERLINK("https://12go.asia/en/travel/Dubai-International-Airport/Al-Mamzar-Hotel-Transfer", "12Go Link")</f>
        <v>12Go Link</v>
      </c>
      <c r="E10845" s="3" t="s">
        <v>3265</v>
      </c>
      <c r="K10845" s="5"/>
    </row>
    <row r="10846">
      <c r="A10846" s="3" t="s">
        <v>5932</v>
      </c>
      <c r="B10846" s="3" t="s">
        <v>5932</v>
      </c>
      <c r="C10846" s="3" t="s">
        <v>9223</v>
      </c>
      <c r="D10846" s="4" t="str">
        <f t="shared" si="1544"/>
        <v>12Go Link</v>
      </c>
      <c r="E10846" s="3" t="s">
        <v>3196</v>
      </c>
      <c r="K10846" s="5"/>
    </row>
    <row r="10847">
      <c r="A10847" s="3" t="s">
        <v>5932</v>
      </c>
      <c r="B10847" s="3" t="s">
        <v>5932</v>
      </c>
      <c r="C10847" s="3" t="s">
        <v>9223</v>
      </c>
      <c r="D10847" s="4" t="str">
        <f t="shared" si="1544"/>
        <v>12Go Link</v>
      </c>
      <c r="E10847" s="3" t="s">
        <v>226</v>
      </c>
      <c r="K10847" s="5"/>
    </row>
    <row r="10848">
      <c r="A10848" s="3" t="s">
        <v>5932</v>
      </c>
      <c r="B10848" s="3" t="s">
        <v>5932</v>
      </c>
      <c r="C10848" s="3" t="s">
        <v>9223</v>
      </c>
      <c r="D10848" s="4" t="str">
        <f t="shared" si="1544"/>
        <v>12Go Link</v>
      </c>
      <c r="E10848" s="3" t="s">
        <v>3203</v>
      </c>
      <c r="K10848" s="5"/>
    </row>
    <row r="10849">
      <c r="A10849" s="3" t="s">
        <v>5932</v>
      </c>
      <c r="B10849" s="3" t="s">
        <v>5932</v>
      </c>
      <c r="C10849" s="3" t="s">
        <v>9224</v>
      </c>
      <c r="D10849" s="4" t="str">
        <f t="shared" ref="D10849:D10852" si="1545">HYPERLINK("https://12go.asia/en/travel/Dubai-International-Airport/Al-Sufouh-Hotel-Transfer", "12Go Link")</f>
        <v>12Go Link</v>
      </c>
      <c r="E10849" s="3" t="s">
        <v>3265</v>
      </c>
      <c r="K10849" s="5"/>
    </row>
    <row r="10850">
      <c r="A10850" s="3" t="s">
        <v>5932</v>
      </c>
      <c r="B10850" s="3" t="s">
        <v>5932</v>
      </c>
      <c r="C10850" s="3" t="s">
        <v>9224</v>
      </c>
      <c r="D10850" s="4" t="str">
        <f t="shared" si="1545"/>
        <v>12Go Link</v>
      </c>
      <c r="E10850" s="3" t="s">
        <v>3196</v>
      </c>
      <c r="K10850" s="5"/>
    </row>
    <row r="10851">
      <c r="A10851" s="3" t="s">
        <v>5932</v>
      </c>
      <c r="B10851" s="3" t="s">
        <v>5932</v>
      </c>
      <c r="C10851" s="3" t="s">
        <v>9224</v>
      </c>
      <c r="D10851" s="4" t="str">
        <f t="shared" si="1545"/>
        <v>12Go Link</v>
      </c>
      <c r="E10851" s="3" t="s">
        <v>226</v>
      </c>
      <c r="K10851" s="5"/>
    </row>
    <row r="10852">
      <c r="A10852" s="3" t="s">
        <v>5932</v>
      </c>
      <c r="B10852" s="3" t="s">
        <v>5932</v>
      </c>
      <c r="C10852" s="3" t="s">
        <v>9224</v>
      </c>
      <c r="D10852" s="4" t="str">
        <f t="shared" si="1545"/>
        <v>12Go Link</v>
      </c>
      <c r="E10852" s="3" t="s">
        <v>3203</v>
      </c>
      <c r="K10852" s="5"/>
    </row>
    <row r="10853">
      <c r="A10853" s="3" t="s">
        <v>5932</v>
      </c>
      <c r="B10853" s="3" t="s">
        <v>5932</v>
      </c>
      <c r="C10853" s="3" t="s">
        <v>9225</v>
      </c>
      <c r="D10853" s="4" t="str">
        <f t="shared" ref="D10853:D10856" si="1546">HYPERLINK("https://12go.asia/en/travel/Dubai-International-Airport/Al-Warqaa-Hotel-Transfer", "12Go Link")</f>
        <v>12Go Link</v>
      </c>
      <c r="E10853" s="3" t="s">
        <v>3265</v>
      </c>
      <c r="K10853" s="5"/>
    </row>
    <row r="10854">
      <c r="A10854" s="3" t="s">
        <v>5932</v>
      </c>
      <c r="B10854" s="3" t="s">
        <v>5932</v>
      </c>
      <c r="C10854" s="3" t="s">
        <v>9225</v>
      </c>
      <c r="D10854" s="4" t="str">
        <f t="shared" si="1546"/>
        <v>12Go Link</v>
      </c>
      <c r="E10854" s="3" t="s">
        <v>3196</v>
      </c>
      <c r="K10854" s="5"/>
    </row>
    <row r="10855">
      <c r="A10855" s="3" t="s">
        <v>5932</v>
      </c>
      <c r="B10855" s="3" t="s">
        <v>5932</v>
      </c>
      <c r="C10855" s="3" t="s">
        <v>9225</v>
      </c>
      <c r="D10855" s="4" t="str">
        <f t="shared" si="1546"/>
        <v>12Go Link</v>
      </c>
      <c r="E10855" s="3" t="s">
        <v>226</v>
      </c>
      <c r="K10855" s="5"/>
    </row>
    <row r="10856">
      <c r="A10856" s="3" t="s">
        <v>5932</v>
      </c>
      <c r="B10856" s="3" t="s">
        <v>5932</v>
      </c>
      <c r="C10856" s="3" t="s">
        <v>9225</v>
      </c>
      <c r="D10856" s="4" t="str">
        <f t="shared" si="1546"/>
        <v>12Go Link</v>
      </c>
      <c r="E10856" s="3" t="s">
        <v>3203</v>
      </c>
      <c r="K10856" s="5"/>
    </row>
    <row r="10857">
      <c r="A10857" s="3" t="s">
        <v>5932</v>
      </c>
      <c r="B10857" s="3" t="s">
        <v>5932</v>
      </c>
      <c r="C10857" s="3" t="s">
        <v>9226</v>
      </c>
      <c r="D10857" s="4" t="str">
        <f t="shared" ref="D10857:D10860" si="1547">HYPERLINK("https://12go.asia/en/travel/Dubai-International-Airport/Arabian-Ranches-Hotel-Transfer", "12Go Link")</f>
        <v>12Go Link</v>
      </c>
      <c r="E10857" s="3" t="s">
        <v>3265</v>
      </c>
      <c r="K10857" s="5"/>
    </row>
    <row r="10858">
      <c r="A10858" s="3" t="s">
        <v>5932</v>
      </c>
      <c r="B10858" s="3" t="s">
        <v>5932</v>
      </c>
      <c r="C10858" s="3" t="s">
        <v>9226</v>
      </c>
      <c r="D10858" s="4" t="str">
        <f t="shared" si="1547"/>
        <v>12Go Link</v>
      </c>
      <c r="E10858" s="3" t="s">
        <v>3196</v>
      </c>
      <c r="K10858" s="5"/>
    </row>
    <row r="10859">
      <c r="A10859" s="3" t="s">
        <v>5932</v>
      </c>
      <c r="B10859" s="3" t="s">
        <v>5932</v>
      </c>
      <c r="C10859" s="3" t="s">
        <v>9226</v>
      </c>
      <c r="D10859" s="4" t="str">
        <f t="shared" si="1547"/>
        <v>12Go Link</v>
      </c>
      <c r="E10859" s="3" t="s">
        <v>226</v>
      </c>
      <c r="K10859" s="5"/>
    </row>
    <row r="10860">
      <c r="A10860" s="3" t="s">
        <v>5932</v>
      </c>
      <c r="B10860" s="3" t="s">
        <v>5932</v>
      </c>
      <c r="C10860" s="3" t="s">
        <v>9226</v>
      </c>
      <c r="D10860" s="4" t="str">
        <f t="shared" si="1547"/>
        <v>12Go Link</v>
      </c>
      <c r="E10860" s="3" t="s">
        <v>3203</v>
      </c>
      <c r="K10860" s="5"/>
    </row>
    <row r="10861">
      <c r="A10861" s="3" t="s">
        <v>5932</v>
      </c>
      <c r="B10861" s="3" t="s">
        <v>5932</v>
      </c>
      <c r="C10861" s="3" t="s">
        <v>9227</v>
      </c>
      <c r="D10861" s="4" t="str">
        <f t="shared" ref="D10861:D10864" si="1548">HYPERLINK("https://12go.asia/en/travel/Dubai-International-Airport/Bab-Al-Shams-Resort", "12Go Link")</f>
        <v>12Go Link</v>
      </c>
      <c r="E10861" s="3" t="s">
        <v>3265</v>
      </c>
      <c r="K10861" s="5"/>
    </row>
    <row r="10862">
      <c r="A10862" s="3" t="s">
        <v>5932</v>
      </c>
      <c r="B10862" s="3" t="s">
        <v>5932</v>
      </c>
      <c r="C10862" s="3" t="s">
        <v>9227</v>
      </c>
      <c r="D10862" s="4" t="str">
        <f t="shared" si="1548"/>
        <v>12Go Link</v>
      </c>
      <c r="E10862" s="3" t="s">
        <v>3196</v>
      </c>
      <c r="K10862" s="5"/>
    </row>
    <row r="10863">
      <c r="A10863" s="3" t="s">
        <v>5932</v>
      </c>
      <c r="B10863" s="3" t="s">
        <v>5932</v>
      </c>
      <c r="C10863" s="3" t="s">
        <v>9227</v>
      </c>
      <c r="D10863" s="4" t="str">
        <f t="shared" si="1548"/>
        <v>12Go Link</v>
      </c>
      <c r="E10863" s="3" t="s">
        <v>226</v>
      </c>
      <c r="K10863" s="5"/>
    </row>
    <row r="10864">
      <c r="A10864" s="3" t="s">
        <v>5932</v>
      </c>
      <c r="B10864" s="3" t="s">
        <v>5932</v>
      </c>
      <c r="C10864" s="3" t="s">
        <v>9227</v>
      </c>
      <c r="D10864" s="4" t="str">
        <f t="shared" si="1548"/>
        <v>12Go Link</v>
      </c>
      <c r="E10864" s="3" t="s">
        <v>3203</v>
      </c>
      <c r="K10864" s="5"/>
    </row>
    <row r="10865">
      <c r="A10865" s="3" t="s">
        <v>5932</v>
      </c>
      <c r="B10865" s="3" t="s">
        <v>5932</v>
      </c>
      <c r="C10865" s="3" t="s">
        <v>9228</v>
      </c>
      <c r="D10865" s="4" t="str">
        <f t="shared" ref="D10865:D10868" si="1549">HYPERLINK("https://12go.asia/en/travel/Dubai-International-Airport/Barsha-Heights-Hotel-Transfer", "12Go Link")</f>
        <v>12Go Link</v>
      </c>
      <c r="E10865" s="3" t="s">
        <v>3265</v>
      </c>
      <c r="K10865" s="5"/>
    </row>
    <row r="10866">
      <c r="A10866" s="3" t="s">
        <v>5932</v>
      </c>
      <c r="B10866" s="3" t="s">
        <v>5932</v>
      </c>
      <c r="C10866" s="3" t="s">
        <v>9228</v>
      </c>
      <c r="D10866" s="4" t="str">
        <f t="shared" si="1549"/>
        <v>12Go Link</v>
      </c>
      <c r="E10866" s="3" t="s">
        <v>3196</v>
      </c>
      <c r="K10866" s="5"/>
    </row>
    <row r="10867">
      <c r="A10867" s="3" t="s">
        <v>5932</v>
      </c>
      <c r="B10867" s="3" t="s">
        <v>5932</v>
      </c>
      <c r="C10867" s="3" t="s">
        <v>9228</v>
      </c>
      <c r="D10867" s="4" t="str">
        <f t="shared" si="1549"/>
        <v>12Go Link</v>
      </c>
      <c r="E10867" s="3" t="s">
        <v>226</v>
      </c>
      <c r="K10867" s="5"/>
    </row>
    <row r="10868">
      <c r="A10868" s="3" t="s">
        <v>5932</v>
      </c>
      <c r="B10868" s="3" t="s">
        <v>5932</v>
      </c>
      <c r="C10868" s="3" t="s">
        <v>9228</v>
      </c>
      <c r="D10868" s="4" t="str">
        <f t="shared" si="1549"/>
        <v>12Go Link</v>
      </c>
      <c r="E10868" s="3" t="s">
        <v>3203</v>
      </c>
      <c r="K10868" s="5"/>
    </row>
    <row r="10869">
      <c r="A10869" s="3" t="s">
        <v>5932</v>
      </c>
      <c r="B10869" s="3" t="s">
        <v>5932</v>
      </c>
      <c r="C10869" s="3" t="s">
        <v>9229</v>
      </c>
      <c r="D10869" s="4" t="str">
        <f t="shared" ref="D10869:D10872" si="1550">HYPERLINK("https://12go.asia/en/travel/Dubai-International-Airport/Bur-Dubai-Hotel-Transfer", "12Go Link")</f>
        <v>12Go Link</v>
      </c>
      <c r="E10869" s="3" t="s">
        <v>3265</v>
      </c>
      <c r="K10869" s="5"/>
    </row>
    <row r="10870">
      <c r="A10870" s="3" t="s">
        <v>5932</v>
      </c>
      <c r="B10870" s="3" t="s">
        <v>5932</v>
      </c>
      <c r="C10870" s="3" t="s">
        <v>9229</v>
      </c>
      <c r="D10870" s="4" t="str">
        <f t="shared" si="1550"/>
        <v>12Go Link</v>
      </c>
      <c r="E10870" s="3" t="s">
        <v>3196</v>
      </c>
      <c r="K10870" s="5"/>
    </row>
    <row r="10871">
      <c r="A10871" s="3" t="s">
        <v>5932</v>
      </c>
      <c r="B10871" s="3" t="s">
        <v>5932</v>
      </c>
      <c r="C10871" s="3" t="s">
        <v>9229</v>
      </c>
      <c r="D10871" s="4" t="str">
        <f t="shared" si="1550"/>
        <v>12Go Link</v>
      </c>
      <c r="E10871" s="3" t="s">
        <v>226</v>
      </c>
      <c r="K10871" s="5"/>
    </row>
    <row r="10872">
      <c r="A10872" s="3" t="s">
        <v>5932</v>
      </c>
      <c r="B10872" s="3" t="s">
        <v>5932</v>
      </c>
      <c r="C10872" s="3" t="s">
        <v>9229</v>
      </c>
      <c r="D10872" s="4" t="str">
        <f t="shared" si="1550"/>
        <v>12Go Link</v>
      </c>
      <c r="E10872" s="3" t="s">
        <v>3203</v>
      </c>
      <c r="K10872" s="5"/>
    </row>
    <row r="10873">
      <c r="A10873" s="3" t="s">
        <v>5932</v>
      </c>
      <c r="B10873" s="3" t="s">
        <v>5932</v>
      </c>
      <c r="C10873" s="3" t="s">
        <v>9230</v>
      </c>
      <c r="D10873" s="4" t="str">
        <f t="shared" ref="D10873:D10876" si="1551">HYPERLINK("https://12go.asia/en/travel/Dubai-International-Airport/Burj-Al-Arab", "12Go Link")</f>
        <v>12Go Link</v>
      </c>
      <c r="E10873" s="3" t="s">
        <v>3265</v>
      </c>
      <c r="K10873" s="5"/>
    </row>
    <row r="10874">
      <c r="A10874" s="3" t="s">
        <v>5932</v>
      </c>
      <c r="B10874" s="3" t="s">
        <v>5932</v>
      </c>
      <c r="C10874" s="3" t="s">
        <v>9230</v>
      </c>
      <c r="D10874" s="4" t="str">
        <f t="shared" si="1551"/>
        <v>12Go Link</v>
      </c>
      <c r="E10874" s="3" t="s">
        <v>3196</v>
      </c>
      <c r="K10874" s="5"/>
    </row>
    <row r="10875">
      <c r="A10875" s="3" t="s">
        <v>5932</v>
      </c>
      <c r="B10875" s="3" t="s">
        <v>5932</v>
      </c>
      <c r="C10875" s="3" t="s">
        <v>9230</v>
      </c>
      <c r="D10875" s="4" t="str">
        <f t="shared" si="1551"/>
        <v>12Go Link</v>
      </c>
      <c r="E10875" s="3" t="s">
        <v>226</v>
      </c>
      <c r="K10875" s="5"/>
    </row>
    <row r="10876">
      <c r="A10876" s="3" t="s">
        <v>5932</v>
      </c>
      <c r="B10876" s="3" t="s">
        <v>5932</v>
      </c>
      <c r="C10876" s="3" t="s">
        <v>9230</v>
      </c>
      <c r="D10876" s="4" t="str">
        <f t="shared" si="1551"/>
        <v>12Go Link</v>
      </c>
      <c r="E10876" s="3" t="s">
        <v>3203</v>
      </c>
      <c r="K10876" s="5"/>
    </row>
    <row r="10877">
      <c r="A10877" s="3" t="s">
        <v>5932</v>
      </c>
      <c r="B10877" s="3" t="s">
        <v>5932</v>
      </c>
      <c r="C10877" s="3" t="s">
        <v>9231</v>
      </c>
      <c r="D10877" s="4" t="str">
        <f t="shared" ref="D10877:D10880" si="1552">HYPERLINK("https://12go.asia/en/travel/Dubai-International-Airport/Burj-Khalifa", "12Go Link")</f>
        <v>12Go Link</v>
      </c>
      <c r="E10877" s="3" t="s">
        <v>3265</v>
      </c>
      <c r="K10877" s="5"/>
    </row>
    <row r="10878">
      <c r="A10878" s="3" t="s">
        <v>5932</v>
      </c>
      <c r="B10878" s="3" t="s">
        <v>5932</v>
      </c>
      <c r="C10878" s="3" t="s">
        <v>9231</v>
      </c>
      <c r="D10878" s="4" t="str">
        <f t="shared" si="1552"/>
        <v>12Go Link</v>
      </c>
      <c r="E10878" s="3" t="s">
        <v>3196</v>
      </c>
      <c r="K10878" s="5"/>
    </row>
    <row r="10879">
      <c r="A10879" s="3" t="s">
        <v>5932</v>
      </c>
      <c r="B10879" s="3" t="s">
        <v>5932</v>
      </c>
      <c r="C10879" s="3" t="s">
        <v>9231</v>
      </c>
      <c r="D10879" s="4" t="str">
        <f t="shared" si="1552"/>
        <v>12Go Link</v>
      </c>
      <c r="E10879" s="3" t="s">
        <v>226</v>
      </c>
      <c r="K10879" s="5"/>
    </row>
    <row r="10880">
      <c r="A10880" s="3" t="s">
        <v>5932</v>
      </c>
      <c r="B10880" s="3" t="s">
        <v>5932</v>
      </c>
      <c r="C10880" s="3" t="s">
        <v>9231</v>
      </c>
      <c r="D10880" s="4" t="str">
        <f t="shared" si="1552"/>
        <v>12Go Link</v>
      </c>
      <c r="E10880" s="3" t="s">
        <v>3203</v>
      </c>
      <c r="K10880" s="5"/>
    </row>
    <row r="10881">
      <c r="A10881" s="3" t="s">
        <v>5932</v>
      </c>
      <c r="B10881" s="3" t="s">
        <v>5932</v>
      </c>
      <c r="C10881" s="3" t="s">
        <v>9232</v>
      </c>
      <c r="D10881" s="4" t="str">
        <f t="shared" ref="D10881:D10884" si="1553">HYPERLINK("https://12go.asia/en/travel/Dubai-International-Airport/City-Of-Arabia-Transfer", "12Go Link")</f>
        <v>12Go Link</v>
      </c>
      <c r="E10881" s="3" t="s">
        <v>3265</v>
      </c>
      <c r="K10881" s="5"/>
    </row>
    <row r="10882">
      <c r="A10882" s="3" t="s">
        <v>5932</v>
      </c>
      <c r="B10882" s="3" t="s">
        <v>5932</v>
      </c>
      <c r="C10882" s="3" t="s">
        <v>9232</v>
      </c>
      <c r="D10882" s="4" t="str">
        <f t="shared" si="1553"/>
        <v>12Go Link</v>
      </c>
      <c r="E10882" s="3" t="s">
        <v>3196</v>
      </c>
      <c r="K10882" s="5"/>
    </row>
    <row r="10883">
      <c r="A10883" s="3" t="s">
        <v>5932</v>
      </c>
      <c r="B10883" s="3" t="s">
        <v>5932</v>
      </c>
      <c r="C10883" s="3" t="s">
        <v>9232</v>
      </c>
      <c r="D10883" s="4" t="str">
        <f t="shared" si="1553"/>
        <v>12Go Link</v>
      </c>
      <c r="E10883" s="3" t="s">
        <v>226</v>
      </c>
      <c r="K10883" s="5"/>
    </row>
    <row r="10884">
      <c r="A10884" s="3" t="s">
        <v>5932</v>
      </c>
      <c r="B10884" s="3" t="s">
        <v>5932</v>
      </c>
      <c r="C10884" s="3" t="s">
        <v>9232</v>
      </c>
      <c r="D10884" s="4" t="str">
        <f t="shared" si="1553"/>
        <v>12Go Link</v>
      </c>
      <c r="E10884" s="3" t="s">
        <v>3203</v>
      </c>
      <c r="K10884" s="5"/>
    </row>
    <row r="10885">
      <c r="A10885" s="3" t="s">
        <v>5932</v>
      </c>
      <c r="B10885" s="3" t="s">
        <v>5932</v>
      </c>
      <c r="C10885" s="3" t="s">
        <v>9233</v>
      </c>
      <c r="D10885" s="4" t="str">
        <f t="shared" ref="D10885:D10888" si="1554">HYPERLINK("https://12go.asia/en/travel/Dubai-International-Airport/Deira-Hotel-Transfer", "12Go Link")</f>
        <v>12Go Link</v>
      </c>
      <c r="E10885" s="3" t="s">
        <v>3265</v>
      </c>
      <c r="K10885" s="5"/>
    </row>
    <row r="10886">
      <c r="A10886" s="3" t="s">
        <v>5932</v>
      </c>
      <c r="B10886" s="3" t="s">
        <v>5932</v>
      </c>
      <c r="C10886" s="3" t="s">
        <v>9233</v>
      </c>
      <c r="D10886" s="4" t="str">
        <f t="shared" si="1554"/>
        <v>12Go Link</v>
      </c>
      <c r="E10886" s="3" t="s">
        <v>3196</v>
      </c>
      <c r="K10886" s="5"/>
    </row>
    <row r="10887">
      <c r="A10887" s="3" t="s">
        <v>5932</v>
      </c>
      <c r="B10887" s="3" t="s">
        <v>5932</v>
      </c>
      <c r="C10887" s="3" t="s">
        <v>9233</v>
      </c>
      <c r="D10887" s="4" t="str">
        <f t="shared" si="1554"/>
        <v>12Go Link</v>
      </c>
      <c r="E10887" s="3" t="s">
        <v>226</v>
      </c>
      <c r="K10887" s="5"/>
    </row>
    <row r="10888">
      <c r="A10888" s="3" t="s">
        <v>5932</v>
      </c>
      <c r="B10888" s="3" t="s">
        <v>5932</v>
      </c>
      <c r="C10888" s="3" t="s">
        <v>9233</v>
      </c>
      <c r="D10888" s="4" t="str">
        <f t="shared" si="1554"/>
        <v>12Go Link</v>
      </c>
      <c r="E10888" s="3" t="s">
        <v>3203</v>
      </c>
      <c r="K10888" s="5"/>
    </row>
    <row r="10889">
      <c r="A10889" s="3" t="s">
        <v>5932</v>
      </c>
      <c r="B10889" s="3" t="s">
        <v>5932</v>
      </c>
      <c r="C10889" s="3" t="s">
        <v>9234</v>
      </c>
      <c r="D10889" s="4" t="str">
        <f t="shared" ref="D10889:D10892" si="1555">HYPERLINK("https://12go.asia/en/travel/Dubai-International-Airport/Dubai-Festival-City-Transfer", "12Go Link")</f>
        <v>12Go Link</v>
      </c>
      <c r="E10889" s="3" t="s">
        <v>3265</v>
      </c>
      <c r="K10889" s="5"/>
    </row>
    <row r="10890">
      <c r="A10890" s="3" t="s">
        <v>5932</v>
      </c>
      <c r="B10890" s="3" t="s">
        <v>5932</v>
      </c>
      <c r="C10890" s="3" t="s">
        <v>9234</v>
      </c>
      <c r="D10890" s="4" t="str">
        <f t="shared" si="1555"/>
        <v>12Go Link</v>
      </c>
      <c r="E10890" s="3" t="s">
        <v>3196</v>
      </c>
      <c r="K10890" s="5"/>
    </row>
    <row r="10891">
      <c r="A10891" s="3" t="s">
        <v>5932</v>
      </c>
      <c r="B10891" s="3" t="s">
        <v>5932</v>
      </c>
      <c r="C10891" s="3" t="s">
        <v>9234</v>
      </c>
      <c r="D10891" s="4" t="str">
        <f t="shared" si="1555"/>
        <v>12Go Link</v>
      </c>
      <c r="E10891" s="3" t="s">
        <v>226</v>
      </c>
      <c r="K10891" s="5"/>
    </row>
    <row r="10892">
      <c r="A10892" s="3" t="s">
        <v>5932</v>
      </c>
      <c r="B10892" s="3" t="s">
        <v>5932</v>
      </c>
      <c r="C10892" s="3" t="s">
        <v>9234</v>
      </c>
      <c r="D10892" s="4" t="str">
        <f t="shared" si="1555"/>
        <v>12Go Link</v>
      </c>
      <c r="E10892" s="3" t="s">
        <v>3203</v>
      </c>
      <c r="K10892" s="5"/>
    </row>
    <row r="10893">
      <c r="A10893" s="3" t="s">
        <v>5932</v>
      </c>
      <c r="B10893" s="3" t="s">
        <v>5932</v>
      </c>
      <c r="C10893" s="3" t="s">
        <v>9235</v>
      </c>
      <c r="D10893" s="4" t="str">
        <f t="shared" ref="D10893:D10896" si="1556">HYPERLINK("https://12go.asia/en/travel/Dubai-International-Airport/Dubai-Harbour-Cruise-Terminal", "12Go Link")</f>
        <v>12Go Link</v>
      </c>
      <c r="E10893" s="3" t="s">
        <v>3265</v>
      </c>
      <c r="K10893" s="5"/>
    </row>
    <row r="10894">
      <c r="A10894" s="3" t="s">
        <v>5932</v>
      </c>
      <c r="B10894" s="3" t="s">
        <v>5932</v>
      </c>
      <c r="C10894" s="3" t="s">
        <v>9235</v>
      </c>
      <c r="D10894" s="4" t="str">
        <f t="shared" si="1556"/>
        <v>12Go Link</v>
      </c>
      <c r="E10894" s="3" t="s">
        <v>3196</v>
      </c>
      <c r="K10894" s="5"/>
    </row>
    <row r="10895">
      <c r="A10895" s="3" t="s">
        <v>5932</v>
      </c>
      <c r="B10895" s="3" t="s">
        <v>5932</v>
      </c>
      <c r="C10895" s="3" t="s">
        <v>9235</v>
      </c>
      <c r="D10895" s="4" t="str">
        <f t="shared" si="1556"/>
        <v>12Go Link</v>
      </c>
      <c r="E10895" s="3" t="s">
        <v>226</v>
      </c>
      <c r="K10895" s="5"/>
    </row>
    <row r="10896">
      <c r="A10896" s="3" t="s">
        <v>5932</v>
      </c>
      <c r="B10896" s="3" t="s">
        <v>5932</v>
      </c>
      <c r="C10896" s="3" t="s">
        <v>9235</v>
      </c>
      <c r="D10896" s="4" t="str">
        <f t="shared" si="1556"/>
        <v>12Go Link</v>
      </c>
      <c r="E10896" s="3" t="s">
        <v>3203</v>
      </c>
      <c r="K10896" s="5"/>
    </row>
    <row r="10897">
      <c r="A10897" s="3" t="s">
        <v>5932</v>
      </c>
      <c r="B10897" s="3" t="s">
        <v>5932</v>
      </c>
      <c r="C10897" s="3" t="s">
        <v>9236</v>
      </c>
      <c r="D10897" s="4" t="str">
        <f t="shared" ref="D10897:D10900" si="1557">HYPERLINK("https://12go.asia/en/travel/Dubai-International-Airport/Dubai-Hotel-Transfer", "12Go Link")</f>
        <v>12Go Link</v>
      </c>
      <c r="E10897" s="3" t="s">
        <v>3265</v>
      </c>
      <c r="K10897" s="5"/>
    </row>
    <row r="10898">
      <c r="A10898" s="3" t="s">
        <v>5932</v>
      </c>
      <c r="B10898" s="3" t="s">
        <v>5932</v>
      </c>
      <c r="C10898" s="3" t="s">
        <v>9236</v>
      </c>
      <c r="D10898" s="4" t="str">
        <f t="shared" si="1557"/>
        <v>12Go Link</v>
      </c>
      <c r="E10898" s="3" t="s">
        <v>3196</v>
      </c>
      <c r="K10898" s="5"/>
    </row>
    <row r="10899">
      <c r="A10899" s="3" t="s">
        <v>5932</v>
      </c>
      <c r="B10899" s="3" t="s">
        <v>5932</v>
      </c>
      <c r="C10899" s="3" t="s">
        <v>9236</v>
      </c>
      <c r="D10899" s="4" t="str">
        <f t="shared" si="1557"/>
        <v>12Go Link</v>
      </c>
      <c r="E10899" s="3" t="s">
        <v>226</v>
      </c>
      <c r="K10899" s="5"/>
    </row>
    <row r="10900">
      <c r="A10900" s="3" t="s">
        <v>5932</v>
      </c>
      <c r="B10900" s="3" t="s">
        <v>5932</v>
      </c>
      <c r="C10900" s="3" t="s">
        <v>9236</v>
      </c>
      <c r="D10900" s="4" t="str">
        <f t="shared" si="1557"/>
        <v>12Go Link</v>
      </c>
      <c r="E10900" s="3" t="s">
        <v>3203</v>
      </c>
      <c r="K10900" s="5"/>
    </row>
    <row r="10901">
      <c r="A10901" s="3" t="s">
        <v>5932</v>
      </c>
      <c r="B10901" s="3" t="s">
        <v>5932</v>
      </c>
      <c r="C10901" s="3" t="s">
        <v>9237</v>
      </c>
      <c r="D10901" s="4" t="str">
        <f t="shared" ref="D10901:D10904" si="1558">HYPERLINK("https://12go.asia/en/travel/Dubai-International-Airport/Dubai-Investments-Park-Transfer", "12Go Link")</f>
        <v>12Go Link</v>
      </c>
      <c r="E10901" s="3" t="s">
        <v>3265</v>
      </c>
      <c r="K10901" s="5"/>
    </row>
    <row r="10902">
      <c r="A10902" s="3" t="s">
        <v>5932</v>
      </c>
      <c r="B10902" s="3" t="s">
        <v>5932</v>
      </c>
      <c r="C10902" s="3" t="s">
        <v>9237</v>
      </c>
      <c r="D10902" s="4" t="str">
        <f t="shared" si="1558"/>
        <v>12Go Link</v>
      </c>
      <c r="E10902" s="3" t="s">
        <v>3196</v>
      </c>
      <c r="K10902" s="5"/>
    </row>
    <row r="10903">
      <c r="A10903" s="3" t="s">
        <v>5932</v>
      </c>
      <c r="B10903" s="3" t="s">
        <v>5932</v>
      </c>
      <c r="C10903" s="3" t="s">
        <v>9237</v>
      </c>
      <c r="D10903" s="4" t="str">
        <f t="shared" si="1558"/>
        <v>12Go Link</v>
      </c>
      <c r="E10903" s="3" t="s">
        <v>226</v>
      </c>
      <c r="K10903" s="5"/>
    </row>
    <row r="10904">
      <c r="A10904" s="3" t="s">
        <v>5932</v>
      </c>
      <c r="B10904" s="3" t="s">
        <v>5932</v>
      </c>
      <c r="C10904" s="3" t="s">
        <v>9237</v>
      </c>
      <c r="D10904" s="4" t="str">
        <f t="shared" si="1558"/>
        <v>12Go Link</v>
      </c>
      <c r="E10904" s="3" t="s">
        <v>3203</v>
      </c>
      <c r="K10904" s="5"/>
    </row>
    <row r="10905">
      <c r="A10905" s="3" t="s">
        <v>5932</v>
      </c>
      <c r="B10905" s="3" t="s">
        <v>5932</v>
      </c>
      <c r="C10905" s="3" t="s">
        <v>9238</v>
      </c>
      <c r="D10905" s="4" t="str">
        <f t="shared" ref="D10905:D10908" si="1559">HYPERLINK("https://12go.asia/en/travel/Dubai-International-Airport/Dubai-Marina-Transfer", "12Go Link")</f>
        <v>12Go Link</v>
      </c>
      <c r="E10905" s="3" t="s">
        <v>3265</v>
      </c>
      <c r="K10905" s="5"/>
    </row>
    <row r="10906">
      <c r="A10906" s="3" t="s">
        <v>5932</v>
      </c>
      <c r="B10906" s="3" t="s">
        <v>5932</v>
      </c>
      <c r="C10906" s="3" t="s">
        <v>9238</v>
      </c>
      <c r="D10906" s="4" t="str">
        <f t="shared" si="1559"/>
        <v>12Go Link</v>
      </c>
      <c r="E10906" s="3" t="s">
        <v>3196</v>
      </c>
      <c r="K10906" s="5"/>
    </row>
    <row r="10907">
      <c r="A10907" s="3" t="s">
        <v>5932</v>
      </c>
      <c r="B10907" s="3" t="s">
        <v>5932</v>
      </c>
      <c r="C10907" s="3" t="s">
        <v>9238</v>
      </c>
      <c r="D10907" s="4" t="str">
        <f t="shared" si="1559"/>
        <v>12Go Link</v>
      </c>
      <c r="E10907" s="3" t="s">
        <v>226</v>
      </c>
      <c r="K10907" s="5"/>
    </row>
    <row r="10908">
      <c r="A10908" s="3" t="s">
        <v>5932</v>
      </c>
      <c r="B10908" s="3" t="s">
        <v>5932</v>
      </c>
      <c r="C10908" s="3" t="s">
        <v>9238</v>
      </c>
      <c r="D10908" s="4" t="str">
        <f t="shared" si="1559"/>
        <v>12Go Link</v>
      </c>
      <c r="E10908" s="3" t="s">
        <v>3203</v>
      </c>
      <c r="K10908" s="5"/>
    </row>
    <row r="10909">
      <c r="A10909" s="3" t="s">
        <v>5932</v>
      </c>
      <c r="B10909" s="3" t="s">
        <v>5932</v>
      </c>
      <c r="C10909" s="3" t="s">
        <v>9239</v>
      </c>
      <c r="D10909" s="4" t="str">
        <f t="shared" ref="D10909:D10912" si="1560">HYPERLINK("https://12go.asia/en/travel/Dubai-International-Airport/Dubai-Silicon-Oasis", "12Go Link")</f>
        <v>12Go Link</v>
      </c>
      <c r="E10909" s="3" t="s">
        <v>3265</v>
      </c>
      <c r="K10909" s="5"/>
    </row>
    <row r="10910">
      <c r="A10910" s="3" t="s">
        <v>5932</v>
      </c>
      <c r="B10910" s="3" t="s">
        <v>5932</v>
      </c>
      <c r="C10910" s="3" t="s">
        <v>9239</v>
      </c>
      <c r="D10910" s="4" t="str">
        <f t="shared" si="1560"/>
        <v>12Go Link</v>
      </c>
      <c r="E10910" s="3" t="s">
        <v>3196</v>
      </c>
      <c r="K10910" s="5"/>
    </row>
    <row r="10911">
      <c r="A10911" s="3" t="s">
        <v>5932</v>
      </c>
      <c r="B10911" s="3" t="s">
        <v>5932</v>
      </c>
      <c r="C10911" s="3" t="s">
        <v>9239</v>
      </c>
      <c r="D10911" s="4" t="str">
        <f t="shared" si="1560"/>
        <v>12Go Link</v>
      </c>
      <c r="E10911" s="3" t="s">
        <v>226</v>
      </c>
      <c r="K10911" s="5"/>
    </row>
    <row r="10912">
      <c r="A10912" s="3" t="s">
        <v>5932</v>
      </c>
      <c r="B10912" s="3" t="s">
        <v>5932</v>
      </c>
      <c r="C10912" s="3" t="s">
        <v>9239</v>
      </c>
      <c r="D10912" s="4" t="str">
        <f t="shared" si="1560"/>
        <v>12Go Link</v>
      </c>
      <c r="E10912" s="3" t="s">
        <v>3203</v>
      </c>
      <c r="K10912" s="5"/>
    </row>
    <row r="10913">
      <c r="A10913" s="3" t="s">
        <v>5932</v>
      </c>
      <c r="B10913" s="3" t="s">
        <v>5932</v>
      </c>
      <c r="C10913" s="3" t="s">
        <v>9240</v>
      </c>
      <c r="D10913" s="4" t="str">
        <f t="shared" ref="D10913:D10916" si="1561">HYPERLINK("https://12go.asia/en/travel/Dubai-International-Airport/Dubai-Sports-City-Transfer", "12Go Link")</f>
        <v>12Go Link</v>
      </c>
      <c r="E10913" s="3" t="s">
        <v>3265</v>
      </c>
      <c r="K10913" s="5"/>
    </row>
    <row r="10914">
      <c r="A10914" s="3" t="s">
        <v>5932</v>
      </c>
      <c r="B10914" s="3" t="s">
        <v>5932</v>
      </c>
      <c r="C10914" s="3" t="s">
        <v>9240</v>
      </c>
      <c r="D10914" s="4" t="str">
        <f t="shared" si="1561"/>
        <v>12Go Link</v>
      </c>
      <c r="E10914" s="3" t="s">
        <v>3196</v>
      </c>
      <c r="K10914" s="5"/>
    </row>
    <row r="10915">
      <c r="A10915" s="3" t="s">
        <v>5932</v>
      </c>
      <c r="B10915" s="3" t="s">
        <v>5932</v>
      </c>
      <c r="C10915" s="3" t="s">
        <v>9240</v>
      </c>
      <c r="D10915" s="4" t="str">
        <f t="shared" si="1561"/>
        <v>12Go Link</v>
      </c>
      <c r="E10915" s="3" t="s">
        <v>226</v>
      </c>
      <c r="K10915" s="5"/>
    </row>
    <row r="10916">
      <c r="A10916" s="3" t="s">
        <v>5932</v>
      </c>
      <c r="B10916" s="3" t="s">
        <v>5932</v>
      </c>
      <c r="C10916" s="3" t="s">
        <v>9240</v>
      </c>
      <c r="D10916" s="4" t="str">
        <f t="shared" si="1561"/>
        <v>12Go Link</v>
      </c>
      <c r="E10916" s="3" t="s">
        <v>3203</v>
      </c>
      <c r="K10916" s="5"/>
    </row>
    <row r="10917">
      <c r="A10917" s="3" t="s">
        <v>5932</v>
      </c>
      <c r="B10917" s="3" t="s">
        <v>5932</v>
      </c>
      <c r="C10917" s="3" t="s">
        <v>9241</v>
      </c>
      <c r="D10917" s="4" t="str">
        <f t="shared" ref="D10917:D10920" si="1562">HYPERLINK("https://12go.asia/en/travel/Dubai-International-Airport/Emirates-Hills-Hotel-Transfer", "12Go Link")</f>
        <v>12Go Link</v>
      </c>
      <c r="E10917" s="3" t="s">
        <v>3265</v>
      </c>
      <c r="K10917" s="5"/>
    </row>
    <row r="10918">
      <c r="A10918" s="3" t="s">
        <v>5932</v>
      </c>
      <c r="B10918" s="3" t="s">
        <v>5932</v>
      </c>
      <c r="C10918" s="3" t="s">
        <v>9241</v>
      </c>
      <c r="D10918" s="4" t="str">
        <f t="shared" si="1562"/>
        <v>12Go Link</v>
      </c>
      <c r="E10918" s="3" t="s">
        <v>3196</v>
      </c>
      <c r="K10918" s="5"/>
    </row>
    <row r="10919">
      <c r="A10919" s="3" t="s">
        <v>5932</v>
      </c>
      <c r="B10919" s="3" t="s">
        <v>5932</v>
      </c>
      <c r="C10919" s="3" t="s">
        <v>9241</v>
      </c>
      <c r="D10919" s="4" t="str">
        <f t="shared" si="1562"/>
        <v>12Go Link</v>
      </c>
      <c r="E10919" s="3" t="s">
        <v>226</v>
      </c>
      <c r="K10919" s="5"/>
    </row>
    <row r="10920">
      <c r="A10920" s="3" t="s">
        <v>5932</v>
      </c>
      <c r="B10920" s="3" t="s">
        <v>5932</v>
      </c>
      <c r="C10920" s="3" t="s">
        <v>9241</v>
      </c>
      <c r="D10920" s="4" t="str">
        <f t="shared" si="1562"/>
        <v>12Go Link</v>
      </c>
      <c r="E10920" s="3" t="s">
        <v>3203</v>
      </c>
      <c r="K10920" s="5"/>
    </row>
    <row r="10921">
      <c r="A10921" s="3" t="s">
        <v>5932</v>
      </c>
      <c r="B10921" s="3" t="s">
        <v>5932</v>
      </c>
      <c r="C10921" s="3" t="s">
        <v>9242</v>
      </c>
      <c r="D10921" s="4" t="str">
        <f t="shared" ref="D10921:D10924" si="1563">HYPERLINK("https://12go.asia/en/travel/Dubai-International-Airport/Jebel-Ali-Hotel-Transfer", "12Go Link")</f>
        <v>12Go Link</v>
      </c>
      <c r="E10921" s="3" t="s">
        <v>3265</v>
      </c>
      <c r="K10921" s="5"/>
    </row>
    <row r="10922">
      <c r="A10922" s="3" t="s">
        <v>5932</v>
      </c>
      <c r="B10922" s="3" t="s">
        <v>5932</v>
      </c>
      <c r="C10922" s="3" t="s">
        <v>9242</v>
      </c>
      <c r="D10922" s="4" t="str">
        <f t="shared" si="1563"/>
        <v>12Go Link</v>
      </c>
      <c r="E10922" s="3" t="s">
        <v>3196</v>
      </c>
      <c r="K10922" s="5"/>
    </row>
    <row r="10923">
      <c r="A10923" s="3" t="s">
        <v>5932</v>
      </c>
      <c r="B10923" s="3" t="s">
        <v>5932</v>
      </c>
      <c r="C10923" s="3" t="s">
        <v>9242</v>
      </c>
      <c r="D10923" s="4" t="str">
        <f t="shared" si="1563"/>
        <v>12Go Link</v>
      </c>
      <c r="E10923" s="3" t="s">
        <v>226</v>
      </c>
      <c r="K10923" s="5"/>
    </row>
    <row r="10924">
      <c r="A10924" s="3" t="s">
        <v>5932</v>
      </c>
      <c r="B10924" s="3" t="s">
        <v>5932</v>
      </c>
      <c r="C10924" s="3" t="s">
        <v>9242</v>
      </c>
      <c r="D10924" s="4" t="str">
        <f t="shared" si="1563"/>
        <v>12Go Link</v>
      </c>
      <c r="E10924" s="3" t="s">
        <v>3203</v>
      </c>
      <c r="K10924" s="5"/>
    </row>
    <row r="10925">
      <c r="A10925" s="3" t="s">
        <v>5932</v>
      </c>
      <c r="B10925" s="3" t="s">
        <v>5932</v>
      </c>
      <c r="C10925" s="3" t="s">
        <v>9243</v>
      </c>
      <c r="D10925" s="4" t="str">
        <f t="shared" ref="D10925:D10928" si="1564">HYPERLINK("https://12go.asia/en/travel/Dubai-International-Airport/Jumeirah-Beach-Transfer", "12Go Link")</f>
        <v>12Go Link</v>
      </c>
      <c r="E10925" s="3" t="s">
        <v>3265</v>
      </c>
      <c r="K10925" s="5"/>
    </row>
    <row r="10926">
      <c r="A10926" s="3" t="s">
        <v>5932</v>
      </c>
      <c r="B10926" s="3" t="s">
        <v>5932</v>
      </c>
      <c r="C10926" s="3" t="s">
        <v>9243</v>
      </c>
      <c r="D10926" s="4" t="str">
        <f t="shared" si="1564"/>
        <v>12Go Link</v>
      </c>
      <c r="E10926" s="3" t="s">
        <v>3196</v>
      </c>
      <c r="K10926" s="5"/>
    </row>
    <row r="10927">
      <c r="A10927" s="3" t="s">
        <v>5932</v>
      </c>
      <c r="B10927" s="3" t="s">
        <v>5932</v>
      </c>
      <c r="C10927" s="3" t="s">
        <v>9243</v>
      </c>
      <c r="D10927" s="4" t="str">
        <f t="shared" si="1564"/>
        <v>12Go Link</v>
      </c>
      <c r="E10927" s="3" t="s">
        <v>226</v>
      </c>
      <c r="K10927" s="5"/>
    </row>
    <row r="10928">
      <c r="A10928" s="3" t="s">
        <v>5932</v>
      </c>
      <c r="B10928" s="3" t="s">
        <v>5932</v>
      </c>
      <c r="C10928" s="3" t="s">
        <v>9243</v>
      </c>
      <c r="D10928" s="4" t="str">
        <f t="shared" si="1564"/>
        <v>12Go Link</v>
      </c>
      <c r="E10928" s="3" t="s">
        <v>3203</v>
      </c>
      <c r="K10928" s="5"/>
    </row>
    <row r="10929">
      <c r="A10929" s="3" t="s">
        <v>5932</v>
      </c>
      <c r="B10929" s="3" t="s">
        <v>5932</v>
      </c>
      <c r="C10929" s="3" t="s">
        <v>9244</v>
      </c>
      <c r="D10929" s="4" t="str">
        <f t="shared" ref="D10929:D10932" si="1565">HYPERLINK("https://12go.asia/en/travel/Dubai-International-Airport/Jumeirah-Golf-Estates", "12Go Link")</f>
        <v>12Go Link</v>
      </c>
      <c r="E10929" s="3" t="s">
        <v>3265</v>
      </c>
      <c r="K10929" s="5"/>
    </row>
    <row r="10930">
      <c r="A10930" s="3" t="s">
        <v>5932</v>
      </c>
      <c r="B10930" s="3" t="s">
        <v>5932</v>
      </c>
      <c r="C10930" s="3" t="s">
        <v>9244</v>
      </c>
      <c r="D10930" s="4" t="str">
        <f t="shared" si="1565"/>
        <v>12Go Link</v>
      </c>
      <c r="E10930" s="3" t="s">
        <v>3196</v>
      </c>
      <c r="K10930" s="5"/>
    </row>
    <row r="10931">
      <c r="A10931" s="3" t="s">
        <v>5932</v>
      </c>
      <c r="B10931" s="3" t="s">
        <v>5932</v>
      </c>
      <c r="C10931" s="3" t="s">
        <v>9244</v>
      </c>
      <c r="D10931" s="4" t="str">
        <f t="shared" si="1565"/>
        <v>12Go Link</v>
      </c>
      <c r="E10931" s="3" t="s">
        <v>226</v>
      </c>
      <c r="K10931" s="5"/>
    </row>
    <row r="10932">
      <c r="A10932" s="3" t="s">
        <v>5932</v>
      </c>
      <c r="B10932" s="3" t="s">
        <v>5932</v>
      </c>
      <c r="C10932" s="3" t="s">
        <v>9244</v>
      </c>
      <c r="D10932" s="4" t="str">
        <f t="shared" si="1565"/>
        <v>12Go Link</v>
      </c>
      <c r="E10932" s="3" t="s">
        <v>3203</v>
      </c>
      <c r="K10932" s="5"/>
    </row>
    <row r="10933">
      <c r="A10933" s="3" t="s">
        <v>5932</v>
      </c>
      <c r="B10933" s="3" t="s">
        <v>5932</v>
      </c>
      <c r="C10933" s="3" t="s">
        <v>9245</v>
      </c>
      <c r="D10933" s="4" t="str">
        <f t="shared" ref="D10933:D10936" si="1566">HYPERLINK("https://12go.asia/en/travel/Dubai-International-Airport/Motiongate-Dubai", "12Go Link")</f>
        <v>12Go Link</v>
      </c>
      <c r="E10933" s="3" t="s">
        <v>3265</v>
      </c>
      <c r="K10933" s="5"/>
    </row>
    <row r="10934">
      <c r="A10934" s="3" t="s">
        <v>5932</v>
      </c>
      <c r="B10934" s="3" t="s">
        <v>5932</v>
      </c>
      <c r="C10934" s="3" t="s">
        <v>9245</v>
      </c>
      <c r="D10934" s="4" t="str">
        <f t="shared" si="1566"/>
        <v>12Go Link</v>
      </c>
      <c r="E10934" s="3" t="s">
        <v>3196</v>
      </c>
      <c r="K10934" s="5"/>
    </row>
    <row r="10935">
      <c r="A10935" s="3" t="s">
        <v>5932</v>
      </c>
      <c r="B10935" s="3" t="s">
        <v>5932</v>
      </c>
      <c r="C10935" s="3" t="s">
        <v>9245</v>
      </c>
      <c r="D10935" s="4" t="str">
        <f t="shared" si="1566"/>
        <v>12Go Link</v>
      </c>
      <c r="E10935" s="3" t="s">
        <v>226</v>
      </c>
      <c r="K10935" s="5"/>
    </row>
    <row r="10936">
      <c r="A10936" s="3" t="s">
        <v>5932</v>
      </c>
      <c r="B10936" s="3" t="s">
        <v>5932</v>
      </c>
      <c r="C10936" s="3" t="s">
        <v>9245</v>
      </c>
      <c r="D10936" s="4" t="str">
        <f t="shared" si="1566"/>
        <v>12Go Link</v>
      </c>
      <c r="E10936" s="3" t="s">
        <v>3203</v>
      </c>
      <c r="K10936" s="5"/>
    </row>
    <row r="10937">
      <c r="A10937" s="3" t="s">
        <v>5932</v>
      </c>
      <c r="B10937" s="3" t="s">
        <v>5932</v>
      </c>
      <c r="C10937" s="3" t="s">
        <v>9246</v>
      </c>
      <c r="D10937" s="4" t="str">
        <f t="shared" ref="D10937:D10940" si="1567">HYPERLINK("https://12go.asia/en/travel/Dubai-International-Airport/Sheikh-Zayed-Road", "12Go Link")</f>
        <v>12Go Link</v>
      </c>
      <c r="E10937" s="3" t="s">
        <v>3265</v>
      </c>
      <c r="K10937" s="5"/>
    </row>
    <row r="10938">
      <c r="A10938" s="3" t="s">
        <v>5932</v>
      </c>
      <c r="B10938" s="3" t="s">
        <v>5932</v>
      </c>
      <c r="C10938" s="3" t="s">
        <v>9246</v>
      </c>
      <c r="D10938" s="4" t="str">
        <f t="shared" si="1567"/>
        <v>12Go Link</v>
      </c>
      <c r="E10938" s="3" t="s">
        <v>3196</v>
      </c>
      <c r="K10938" s="5"/>
    </row>
    <row r="10939">
      <c r="A10939" s="3" t="s">
        <v>5932</v>
      </c>
      <c r="B10939" s="3" t="s">
        <v>5932</v>
      </c>
      <c r="C10939" s="3" t="s">
        <v>9246</v>
      </c>
      <c r="D10939" s="4" t="str">
        <f t="shared" si="1567"/>
        <v>12Go Link</v>
      </c>
      <c r="E10939" s="3" t="s">
        <v>226</v>
      </c>
      <c r="K10939" s="5"/>
    </row>
    <row r="10940">
      <c r="A10940" s="3" t="s">
        <v>5932</v>
      </c>
      <c r="B10940" s="3" t="s">
        <v>5932</v>
      </c>
      <c r="C10940" s="3" t="s">
        <v>9246</v>
      </c>
      <c r="D10940" s="4" t="str">
        <f t="shared" si="1567"/>
        <v>12Go Link</v>
      </c>
      <c r="E10940" s="3" t="s">
        <v>3203</v>
      </c>
      <c r="K10940" s="5"/>
    </row>
    <row r="10941">
      <c r="A10941" s="3" t="s">
        <v>5932</v>
      </c>
      <c r="B10941" s="3" t="s">
        <v>5932</v>
      </c>
      <c r="C10941" s="3" t="s">
        <v>9247</v>
      </c>
      <c r="D10941" s="4" t="str">
        <f t="shared" ref="D10941:D10944" si="1568">HYPERLINK("https://12go.asia/en/travel/Dubai-International-Airport/The-Palm-Jumeirah-Hotel-Transfer", "12Go Link")</f>
        <v>12Go Link</v>
      </c>
      <c r="E10941" s="3" t="s">
        <v>3265</v>
      </c>
      <c r="K10941" s="5"/>
    </row>
    <row r="10942">
      <c r="A10942" s="3" t="s">
        <v>5932</v>
      </c>
      <c r="B10942" s="3" t="s">
        <v>5932</v>
      </c>
      <c r="C10942" s="3" t="s">
        <v>9247</v>
      </c>
      <c r="D10942" s="4" t="str">
        <f t="shared" si="1568"/>
        <v>12Go Link</v>
      </c>
      <c r="E10942" s="3" t="s">
        <v>3196</v>
      </c>
      <c r="K10942" s="5"/>
    </row>
    <row r="10943">
      <c r="A10943" s="3" t="s">
        <v>5932</v>
      </c>
      <c r="B10943" s="3" t="s">
        <v>5932</v>
      </c>
      <c r="C10943" s="3" t="s">
        <v>9247</v>
      </c>
      <c r="D10943" s="4" t="str">
        <f t="shared" si="1568"/>
        <v>12Go Link</v>
      </c>
      <c r="E10943" s="3" t="s">
        <v>226</v>
      </c>
      <c r="K10943" s="5"/>
    </row>
    <row r="10944">
      <c r="A10944" s="3" t="s">
        <v>5932</v>
      </c>
      <c r="B10944" s="3" t="s">
        <v>5932</v>
      </c>
      <c r="C10944" s="3" t="s">
        <v>9247</v>
      </c>
      <c r="D10944" s="4" t="str">
        <f t="shared" si="1568"/>
        <v>12Go Link</v>
      </c>
      <c r="E10944" s="3" t="s">
        <v>3203</v>
      </c>
      <c r="K10944" s="5"/>
    </row>
    <row r="10945">
      <c r="A10945" s="3" t="s">
        <v>5932</v>
      </c>
      <c r="B10945" s="3" t="s">
        <v>5932</v>
      </c>
      <c r="C10945" s="3" t="s">
        <v>9248</v>
      </c>
      <c r="D10945" s="4" t="str">
        <f t="shared" ref="D10945:D10948" si="1569">HYPERLINK("https://12go.asia/en/travel/Dubai-Investments-Park-Transfer/Dubai-International-Airport", "12Go Link")</f>
        <v>12Go Link</v>
      </c>
      <c r="E10945" s="3" t="s">
        <v>3265</v>
      </c>
      <c r="K10945" s="5"/>
    </row>
    <row r="10946">
      <c r="A10946" s="3" t="s">
        <v>5932</v>
      </c>
      <c r="B10946" s="3" t="s">
        <v>5932</v>
      </c>
      <c r="C10946" s="3" t="s">
        <v>9248</v>
      </c>
      <c r="D10946" s="4" t="str">
        <f t="shared" si="1569"/>
        <v>12Go Link</v>
      </c>
      <c r="E10946" s="3" t="s">
        <v>3196</v>
      </c>
      <c r="K10946" s="5"/>
    </row>
    <row r="10947">
      <c r="A10947" s="3" t="s">
        <v>5932</v>
      </c>
      <c r="B10947" s="3" t="s">
        <v>5932</v>
      </c>
      <c r="C10947" s="3" t="s">
        <v>9248</v>
      </c>
      <c r="D10947" s="4" t="str">
        <f t="shared" si="1569"/>
        <v>12Go Link</v>
      </c>
      <c r="E10947" s="3" t="s">
        <v>226</v>
      </c>
      <c r="K10947" s="5"/>
    </row>
    <row r="10948">
      <c r="A10948" s="3" t="s">
        <v>5932</v>
      </c>
      <c r="B10948" s="3" t="s">
        <v>5932</v>
      </c>
      <c r="C10948" s="3" t="s">
        <v>9248</v>
      </c>
      <c r="D10948" s="4" t="str">
        <f t="shared" si="1569"/>
        <v>12Go Link</v>
      </c>
      <c r="E10948" s="3" t="s">
        <v>3203</v>
      </c>
      <c r="K10948" s="5"/>
    </row>
    <row r="10949">
      <c r="A10949" s="3" t="s">
        <v>5932</v>
      </c>
      <c r="B10949" s="3" t="s">
        <v>5932</v>
      </c>
      <c r="C10949" s="3" t="s">
        <v>9249</v>
      </c>
      <c r="D10949" s="4" t="str">
        <f t="shared" ref="D10949:D10951" si="1570">HYPERLINK("https://12go.asia/en/travel/Dubai-Investments-Park-Transfer/Dubai-Port", "12Go Link")</f>
        <v>12Go Link</v>
      </c>
      <c r="E10949" s="3" t="s">
        <v>3265</v>
      </c>
      <c r="K10949" s="5"/>
    </row>
    <row r="10950">
      <c r="A10950" s="3" t="s">
        <v>5932</v>
      </c>
      <c r="B10950" s="3" t="s">
        <v>5932</v>
      </c>
      <c r="C10950" s="3" t="s">
        <v>9249</v>
      </c>
      <c r="D10950" s="4" t="str">
        <f t="shared" si="1570"/>
        <v>12Go Link</v>
      </c>
      <c r="E10950" s="3" t="s">
        <v>3196</v>
      </c>
      <c r="K10950" s="5"/>
    </row>
    <row r="10951">
      <c r="A10951" s="3" t="s">
        <v>5932</v>
      </c>
      <c r="B10951" s="3" t="s">
        <v>5932</v>
      </c>
      <c r="C10951" s="3" t="s">
        <v>9249</v>
      </c>
      <c r="D10951" s="4" t="str">
        <f t="shared" si="1570"/>
        <v>12Go Link</v>
      </c>
      <c r="E10951" s="3" t="s">
        <v>3203</v>
      </c>
      <c r="K10951" s="5"/>
    </row>
    <row r="10952">
      <c r="A10952" s="3" t="s">
        <v>5932</v>
      </c>
      <c r="B10952" s="3" t="s">
        <v>5932</v>
      </c>
      <c r="C10952" s="3" t="s">
        <v>9250</v>
      </c>
      <c r="D10952" s="4" t="str">
        <f t="shared" ref="D10952:D10955" si="1571">HYPERLINK("https://12go.asia/en/travel/Dubai-Marina-Transfer/Dubai-International-Airport", "12Go Link")</f>
        <v>12Go Link</v>
      </c>
      <c r="E10952" s="3" t="s">
        <v>3265</v>
      </c>
      <c r="K10952" s="5"/>
    </row>
    <row r="10953">
      <c r="A10953" s="3" t="s">
        <v>5932</v>
      </c>
      <c r="B10953" s="3" t="s">
        <v>5932</v>
      </c>
      <c r="C10953" s="3" t="s">
        <v>9250</v>
      </c>
      <c r="D10953" s="4" t="str">
        <f t="shared" si="1571"/>
        <v>12Go Link</v>
      </c>
      <c r="E10953" s="3" t="s">
        <v>3196</v>
      </c>
      <c r="K10953" s="5"/>
    </row>
    <row r="10954">
      <c r="A10954" s="3" t="s">
        <v>5932</v>
      </c>
      <c r="B10954" s="3" t="s">
        <v>5932</v>
      </c>
      <c r="C10954" s="3" t="s">
        <v>9250</v>
      </c>
      <c r="D10954" s="4" t="str">
        <f t="shared" si="1571"/>
        <v>12Go Link</v>
      </c>
      <c r="E10954" s="3" t="s">
        <v>226</v>
      </c>
      <c r="K10954" s="5"/>
    </row>
    <row r="10955">
      <c r="A10955" s="3" t="s">
        <v>5932</v>
      </c>
      <c r="B10955" s="3" t="s">
        <v>5932</v>
      </c>
      <c r="C10955" s="3" t="s">
        <v>9250</v>
      </c>
      <c r="D10955" s="4" t="str">
        <f t="shared" si="1571"/>
        <v>12Go Link</v>
      </c>
      <c r="E10955" s="3" t="s">
        <v>3203</v>
      </c>
      <c r="K10955" s="5"/>
    </row>
    <row r="10956">
      <c r="A10956" s="3" t="s">
        <v>5932</v>
      </c>
      <c r="B10956" s="3" t="s">
        <v>5932</v>
      </c>
      <c r="C10956" s="3" t="s">
        <v>9251</v>
      </c>
      <c r="D10956" s="4" t="str">
        <f t="shared" ref="D10956:D10958" si="1572">HYPERLINK("https://12go.asia/en/travel/Dubai-Marina-Transfer/Dubai-Port", "12Go Link")</f>
        <v>12Go Link</v>
      </c>
      <c r="E10956" s="3" t="s">
        <v>3265</v>
      </c>
      <c r="K10956" s="5"/>
    </row>
    <row r="10957">
      <c r="A10957" s="3" t="s">
        <v>5932</v>
      </c>
      <c r="B10957" s="3" t="s">
        <v>5932</v>
      </c>
      <c r="C10957" s="3" t="s">
        <v>9251</v>
      </c>
      <c r="D10957" s="4" t="str">
        <f t="shared" si="1572"/>
        <v>12Go Link</v>
      </c>
      <c r="E10957" s="3" t="s">
        <v>3196</v>
      </c>
      <c r="K10957" s="5"/>
    </row>
    <row r="10958">
      <c r="A10958" s="3" t="s">
        <v>5932</v>
      </c>
      <c r="B10958" s="3" t="s">
        <v>5932</v>
      </c>
      <c r="C10958" s="3" t="s">
        <v>9251</v>
      </c>
      <c r="D10958" s="4" t="str">
        <f t="shared" si="1572"/>
        <v>12Go Link</v>
      </c>
      <c r="E10958" s="3" t="s">
        <v>3203</v>
      </c>
      <c r="K10958" s="5"/>
    </row>
    <row r="10959">
      <c r="A10959" s="3" t="s">
        <v>5932</v>
      </c>
      <c r="B10959" s="3" t="s">
        <v>5932</v>
      </c>
      <c r="C10959" s="3" t="s">
        <v>9252</v>
      </c>
      <c r="D10959" s="4" t="str">
        <f t="shared" ref="D10959:D10961" si="1573">HYPERLINK("https://12go.asia/en/travel/Dubai-Port/Al-Barsha-Hotel-Transfer", "12Go Link")</f>
        <v>12Go Link</v>
      </c>
      <c r="E10959" s="3" t="s">
        <v>3265</v>
      </c>
      <c r="K10959" s="5"/>
    </row>
    <row r="10960">
      <c r="A10960" s="3" t="s">
        <v>5932</v>
      </c>
      <c r="B10960" s="3" t="s">
        <v>5932</v>
      </c>
      <c r="C10960" s="3" t="s">
        <v>9252</v>
      </c>
      <c r="D10960" s="4" t="str">
        <f t="shared" si="1573"/>
        <v>12Go Link</v>
      </c>
      <c r="E10960" s="3" t="s">
        <v>3196</v>
      </c>
      <c r="K10960" s="5"/>
    </row>
    <row r="10961">
      <c r="A10961" s="3" t="s">
        <v>5932</v>
      </c>
      <c r="B10961" s="3" t="s">
        <v>5932</v>
      </c>
      <c r="C10961" s="3" t="s">
        <v>9252</v>
      </c>
      <c r="D10961" s="4" t="str">
        <f t="shared" si="1573"/>
        <v>12Go Link</v>
      </c>
      <c r="E10961" s="3" t="s">
        <v>3203</v>
      </c>
      <c r="K10961" s="5"/>
    </row>
    <row r="10962">
      <c r="A10962" s="3" t="s">
        <v>5932</v>
      </c>
      <c r="B10962" s="3" t="s">
        <v>5932</v>
      </c>
      <c r="C10962" s="3" t="s">
        <v>9253</v>
      </c>
      <c r="D10962" s="4" t="str">
        <f t="shared" ref="D10962:D10964" si="1574">HYPERLINK("https://12go.asia/en/travel/Dubai-Port/Al-Maktoum-International-Airport", "12Go Link")</f>
        <v>12Go Link</v>
      </c>
      <c r="E10962" s="3" t="s">
        <v>3265</v>
      </c>
      <c r="K10962" s="5"/>
    </row>
    <row r="10963">
      <c r="A10963" s="3" t="s">
        <v>5932</v>
      </c>
      <c r="B10963" s="3" t="s">
        <v>5932</v>
      </c>
      <c r="C10963" s="3" t="s">
        <v>9253</v>
      </c>
      <c r="D10963" s="4" t="str">
        <f t="shared" si="1574"/>
        <v>12Go Link</v>
      </c>
      <c r="E10963" s="3" t="s">
        <v>3196</v>
      </c>
      <c r="K10963" s="5"/>
    </row>
    <row r="10964">
      <c r="A10964" s="3" t="s">
        <v>5932</v>
      </c>
      <c r="B10964" s="3" t="s">
        <v>5932</v>
      </c>
      <c r="C10964" s="3" t="s">
        <v>9253</v>
      </c>
      <c r="D10964" s="4" t="str">
        <f t="shared" si="1574"/>
        <v>12Go Link</v>
      </c>
      <c r="E10964" s="3" t="s">
        <v>3203</v>
      </c>
      <c r="K10964" s="5"/>
    </row>
    <row r="10965">
      <c r="A10965" s="3" t="s">
        <v>5932</v>
      </c>
      <c r="B10965" s="3" t="s">
        <v>5932</v>
      </c>
      <c r="C10965" s="3" t="s">
        <v>9254</v>
      </c>
      <c r="D10965" s="4" t="str">
        <f t="shared" ref="D10965:D10967" si="1575">HYPERLINK("https://12go.asia/en/travel/Dubai-Port/Al-Mamzar-Hotel-Transfer", "12Go Link")</f>
        <v>12Go Link</v>
      </c>
      <c r="E10965" s="3" t="s">
        <v>3265</v>
      </c>
      <c r="K10965" s="5"/>
    </row>
    <row r="10966">
      <c r="A10966" s="3" t="s">
        <v>5932</v>
      </c>
      <c r="B10966" s="3" t="s">
        <v>5932</v>
      </c>
      <c r="C10966" s="3" t="s">
        <v>9254</v>
      </c>
      <c r="D10966" s="4" t="str">
        <f t="shared" si="1575"/>
        <v>12Go Link</v>
      </c>
      <c r="E10966" s="3" t="s">
        <v>3196</v>
      </c>
      <c r="K10966" s="5"/>
    </row>
    <row r="10967">
      <c r="A10967" s="3" t="s">
        <v>5932</v>
      </c>
      <c r="B10967" s="3" t="s">
        <v>5932</v>
      </c>
      <c r="C10967" s="3" t="s">
        <v>9254</v>
      </c>
      <c r="D10967" s="4" t="str">
        <f t="shared" si="1575"/>
        <v>12Go Link</v>
      </c>
      <c r="E10967" s="3" t="s">
        <v>3203</v>
      </c>
      <c r="K10967" s="5"/>
    </row>
    <row r="10968">
      <c r="A10968" s="3" t="s">
        <v>5932</v>
      </c>
      <c r="B10968" s="3" t="s">
        <v>5932</v>
      </c>
      <c r="C10968" s="3" t="s">
        <v>9255</v>
      </c>
      <c r="D10968" s="4" t="str">
        <f t="shared" ref="D10968:D10970" si="1576">HYPERLINK("https://12go.asia/en/travel/Dubai-Port/Al-Sufouh-Hotel-Transfer", "12Go Link")</f>
        <v>12Go Link</v>
      </c>
      <c r="E10968" s="3" t="s">
        <v>3265</v>
      </c>
      <c r="K10968" s="5"/>
    </row>
    <row r="10969">
      <c r="A10969" s="3" t="s">
        <v>5932</v>
      </c>
      <c r="B10969" s="3" t="s">
        <v>5932</v>
      </c>
      <c r="C10969" s="3" t="s">
        <v>9255</v>
      </c>
      <c r="D10969" s="4" t="str">
        <f t="shared" si="1576"/>
        <v>12Go Link</v>
      </c>
      <c r="E10969" s="3" t="s">
        <v>3196</v>
      </c>
      <c r="K10969" s="5"/>
    </row>
    <row r="10970">
      <c r="A10970" s="3" t="s">
        <v>5932</v>
      </c>
      <c r="B10970" s="3" t="s">
        <v>5932</v>
      </c>
      <c r="C10970" s="3" t="s">
        <v>9255</v>
      </c>
      <c r="D10970" s="4" t="str">
        <f t="shared" si="1576"/>
        <v>12Go Link</v>
      </c>
      <c r="E10970" s="3" t="s">
        <v>3203</v>
      </c>
      <c r="K10970" s="5"/>
    </row>
    <row r="10971">
      <c r="A10971" s="3" t="s">
        <v>5932</v>
      </c>
      <c r="B10971" s="3" t="s">
        <v>5932</v>
      </c>
      <c r="C10971" s="3" t="s">
        <v>9256</v>
      </c>
      <c r="D10971" s="4" t="str">
        <f t="shared" ref="D10971:D10973" si="1577">HYPERLINK("https://12go.asia/en/travel/Dubai-Port/Al-Warqaa-Hotel-Transfer", "12Go Link")</f>
        <v>12Go Link</v>
      </c>
      <c r="E10971" s="3" t="s">
        <v>3265</v>
      </c>
      <c r="K10971" s="5"/>
    </row>
    <row r="10972">
      <c r="A10972" s="3" t="s">
        <v>5932</v>
      </c>
      <c r="B10972" s="3" t="s">
        <v>5932</v>
      </c>
      <c r="C10972" s="3" t="s">
        <v>9256</v>
      </c>
      <c r="D10972" s="4" t="str">
        <f t="shared" si="1577"/>
        <v>12Go Link</v>
      </c>
      <c r="E10972" s="3" t="s">
        <v>3196</v>
      </c>
      <c r="K10972" s="5"/>
    </row>
    <row r="10973">
      <c r="A10973" s="3" t="s">
        <v>5932</v>
      </c>
      <c r="B10973" s="3" t="s">
        <v>5932</v>
      </c>
      <c r="C10973" s="3" t="s">
        <v>9256</v>
      </c>
      <c r="D10973" s="4" t="str">
        <f t="shared" si="1577"/>
        <v>12Go Link</v>
      </c>
      <c r="E10973" s="3" t="s">
        <v>3203</v>
      </c>
      <c r="K10973" s="5"/>
    </row>
    <row r="10974">
      <c r="A10974" s="3" t="s">
        <v>5932</v>
      </c>
      <c r="B10974" s="3" t="s">
        <v>5932</v>
      </c>
      <c r="C10974" s="3" t="s">
        <v>9257</v>
      </c>
      <c r="D10974" s="4" t="str">
        <f t="shared" ref="D10974:D10976" si="1578">HYPERLINK("https://12go.asia/en/travel/Dubai-Port/Arabian-Ranches-Hotel-Transfer", "12Go Link")</f>
        <v>12Go Link</v>
      </c>
      <c r="E10974" s="3" t="s">
        <v>3265</v>
      </c>
      <c r="K10974" s="5"/>
    </row>
    <row r="10975">
      <c r="A10975" s="3" t="s">
        <v>5932</v>
      </c>
      <c r="B10975" s="3" t="s">
        <v>5932</v>
      </c>
      <c r="C10975" s="3" t="s">
        <v>9257</v>
      </c>
      <c r="D10975" s="4" t="str">
        <f t="shared" si="1578"/>
        <v>12Go Link</v>
      </c>
      <c r="E10975" s="3" t="s">
        <v>3196</v>
      </c>
      <c r="K10975" s="5"/>
    </row>
    <row r="10976">
      <c r="A10976" s="3" t="s">
        <v>5932</v>
      </c>
      <c r="B10976" s="3" t="s">
        <v>5932</v>
      </c>
      <c r="C10976" s="3" t="s">
        <v>9257</v>
      </c>
      <c r="D10976" s="4" t="str">
        <f t="shared" si="1578"/>
        <v>12Go Link</v>
      </c>
      <c r="E10976" s="3" t="s">
        <v>3203</v>
      </c>
      <c r="K10976" s="5"/>
    </row>
    <row r="10977">
      <c r="A10977" s="3" t="s">
        <v>5932</v>
      </c>
      <c r="B10977" s="3" t="s">
        <v>5932</v>
      </c>
      <c r="C10977" s="3" t="s">
        <v>9258</v>
      </c>
      <c r="D10977" s="4" t="str">
        <f t="shared" ref="D10977:D10978" si="1579">HYPERLINK("https://12go.asia/en/travel/Dubai-Port/Bab-Al-Shams-Resort", "12Go Link")</f>
        <v>12Go Link</v>
      </c>
      <c r="E10977" s="3" t="s">
        <v>3196</v>
      </c>
      <c r="K10977" s="5"/>
    </row>
    <row r="10978">
      <c r="A10978" s="3" t="s">
        <v>5932</v>
      </c>
      <c r="B10978" s="3" t="s">
        <v>5932</v>
      </c>
      <c r="C10978" s="3" t="s">
        <v>9258</v>
      </c>
      <c r="D10978" s="4" t="str">
        <f t="shared" si="1579"/>
        <v>12Go Link</v>
      </c>
      <c r="E10978" s="3" t="s">
        <v>3203</v>
      </c>
      <c r="K10978" s="5"/>
    </row>
    <row r="10979">
      <c r="A10979" s="3" t="s">
        <v>5932</v>
      </c>
      <c r="B10979" s="3" t="s">
        <v>5932</v>
      </c>
      <c r="C10979" s="3" t="s">
        <v>9259</v>
      </c>
      <c r="D10979" s="4" t="str">
        <f t="shared" ref="D10979:D10981" si="1580">HYPERLINK("https://12go.asia/en/travel/Dubai-Port/Barsha-Heights-Hotel-Transfer", "12Go Link")</f>
        <v>12Go Link</v>
      </c>
      <c r="E10979" s="3" t="s">
        <v>3265</v>
      </c>
      <c r="K10979" s="5"/>
    </row>
    <row r="10980">
      <c r="A10980" s="3" t="s">
        <v>5932</v>
      </c>
      <c r="B10980" s="3" t="s">
        <v>5932</v>
      </c>
      <c r="C10980" s="3" t="s">
        <v>9259</v>
      </c>
      <c r="D10980" s="4" t="str">
        <f t="shared" si="1580"/>
        <v>12Go Link</v>
      </c>
      <c r="E10980" s="3" t="s">
        <v>3196</v>
      </c>
      <c r="K10980" s="5"/>
    </row>
    <row r="10981">
      <c r="A10981" s="3" t="s">
        <v>5932</v>
      </c>
      <c r="B10981" s="3" t="s">
        <v>5932</v>
      </c>
      <c r="C10981" s="3" t="s">
        <v>9259</v>
      </c>
      <c r="D10981" s="4" t="str">
        <f t="shared" si="1580"/>
        <v>12Go Link</v>
      </c>
      <c r="E10981" s="3" t="s">
        <v>3203</v>
      </c>
      <c r="K10981" s="5"/>
    </row>
    <row r="10982">
      <c r="A10982" s="3" t="s">
        <v>5932</v>
      </c>
      <c r="B10982" s="3" t="s">
        <v>5932</v>
      </c>
      <c r="C10982" s="3" t="s">
        <v>9260</v>
      </c>
      <c r="D10982" s="4" t="str">
        <f t="shared" ref="D10982:D10984" si="1581">HYPERLINK("https://12go.asia/en/travel/Dubai-Port/Bur-Dubai-Hotel-Transfer", "12Go Link")</f>
        <v>12Go Link</v>
      </c>
      <c r="E10982" s="3" t="s">
        <v>3265</v>
      </c>
      <c r="K10982" s="5"/>
    </row>
    <row r="10983">
      <c r="A10983" s="3" t="s">
        <v>5932</v>
      </c>
      <c r="B10983" s="3" t="s">
        <v>5932</v>
      </c>
      <c r="C10983" s="3" t="s">
        <v>9260</v>
      </c>
      <c r="D10983" s="4" t="str">
        <f t="shared" si="1581"/>
        <v>12Go Link</v>
      </c>
      <c r="E10983" s="3" t="s">
        <v>3196</v>
      </c>
      <c r="K10983" s="5"/>
    </row>
    <row r="10984">
      <c r="A10984" s="3" t="s">
        <v>5932</v>
      </c>
      <c r="B10984" s="3" t="s">
        <v>5932</v>
      </c>
      <c r="C10984" s="3" t="s">
        <v>9260</v>
      </c>
      <c r="D10984" s="4" t="str">
        <f t="shared" si="1581"/>
        <v>12Go Link</v>
      </c>
      <c r="E10984" s="3" t="s">
        <v>3203</v>
      </c>
      <c r="K10984" s="5"/>
    </row>
    <row r="10985">
      <c r="A10985" s="3" t="s">
        <v>5932</v>
      </c>
      <c r="B10985" s="3" t="s">
        <v>5932</v>
      </c>
      <c r="C10985" s="3" t="s">
        <v>9261</v>
      </c>
      <c r="D10985" s="4" t="str">
        <f t="shared" ref="D10985:D10987" si="1582">HYPERLINK("https://12go.asia/en/travel/Dubai-Port/Burj-Al-Arab", "12Go Link")</f>
        <v>12Go Link</v>
      </c>
      <c r="E10985" s="3" t="s">
        <v>3265</v>
      </c>
      <c r="K10985" s="5"/>
    </row>
    <row r="10986">
      <c r="A10986" s="3" t="s">
        <v>5932</v>
      </c>
      <c r="B10986" s="3" t="s">
        <v>5932</v>
      </c>
      <c r="C10986" s="3" t="s">
        <v>9261</v>
      </c>
      <c r="D10986" s="4" t="str">
        <f t="shared" si="1582"/>
        <v>12Go Link</v>
      </c>
      <c r="E10986" s="3" t="s">
        <v>3196</v>
      </c>
      <c r="K10986" s="5"/>
    </row>
    <row r="10987">
      <c r="A10987" s="3" t="s">
        <v>5932</v>
      </c>
      <c r="B10987" s="3" t="s">
        <v>5932</v>
      </c>
      <c r="C10987" s="3" t="s">
        <v>9261</v>
      </c>
      <c r="D10987" s="4" t="str">
        <f t="shared" si="1582"/>
        <v>12Go Link</v>
      </c>
      <c r="E10987" s="3" t="s">
        <v>3203</v>
      </c>
      <c r="K10987" s="5"/>
    </row>
    <row r="10988">
      <c r="A10988" s="3" t="s">
        <v>5932</v>
      </c>
      <c r="B10988" s="3" t="s">
        <v>5932</v>
      </c>
      <c r="C10988" s="3" t="s">
        <v>9262</v>
      </c>
      <c r="D10988" s="4" t="str">
        <f t="shared" ref="D10988:D10990" si="1583">HYPERLINK("https://12go.asia/en/travel/Dubai-Port/Burj-Khalifa", "12Go Link")</f>
        <v>12Go Link</v>
      </c>
      <c r="E10988" s="3" t="s">
        <v>3265</v>
      </c>
      <c r="K10988" s="5"/>
    </row>
    <row r="10989">
      <c r="A10989" s="3" t="s">
        <v>5932</v>
      </c>
      <c r="B10989" s="3" t="s">
        <v>5932</v>
      </c>
      <c r="C10989" s="3" t="s">
        <v>9262</v>
      </c>
      <c r="D10989" s="4" t="str">
        <f t="shared" si="1583"/>
        <v>12Go Link</v>
      </c>
      <c r="E10989" s="3" t="s">
        <v>3196</v>
      </c>
      <c r="K10989" s="5"/>
    </row>
    <row r="10990">
      <c r="A10990" s="3" t="s">
        <v>5932</v>
      </c>
      <c r="B10990" s="3" t="s">
        <v>5932</v>
      </c>
      <c r="C10990" s="3" t="s">
        <v>9262</v>
      </c>
      <c r="D10990" s="4" t="str">
        <f t="shared" si="1583"/>
        <v>12Go Link</v>
      </c>
      <c r="E10990" s="3" t="s">
        <v>3203</v>
      </c>
      <c r="K10990" s="5"/>
    </row>
    <row r="10991">
      <c r="A10991" s="3" t="s">
        <v>5932</v>
      </c>
      <c r="B10991" s="3" t="s">
        <v>5932</v>
      </c>
      <c r="C10991" s="3" t="s">
        <v>9263</v>
      </c>
      <c r="D10991" s="4" t="str">
        <f t="shared" ref="D10991:D10993" si="1584">HYPERLINK("https://12go.asia/en/travel/Dubai-Port/City-Of-Arabia-Transfer", "12Go Link")</f>
        <v>12Go Link</v>
      </c>
      <c r="E10991" s="3" t="s">
        <v>3265</v>
      </c>
      <c r="K10991" s="5"/>
    </row>
    <row r="10992">
      <c r="A10992" s="3" t="s">
        <v>5932</v>
      </c>
      <c r="B10992" s="3" t="s">
        <v>5932</v>
      </c>
      <c r="C10992" s="3" t="s">
        <v>9263</v>
      </c>
      <c r="D10992" s="4" t="str">
        <f t="shared" si="1584"/>
        <v>12Go Link</v>
      </c>
      <c r="E10992" s="3" t="s">
        <v>3196</v>
      </c>
      <c r="K10992" s="5"/>
    </row>
    <row r="10993">
      <c r="A10993" s="3" t="s">
        <v>5932</v>
      </c>
      <c r="B10993" s="3" t="s">
        <v>5932</v>
      </c>
      <c r="C10993" s="3" t="s">
        <v>9263</v>
      </c>
      <c r="D10993" s="4" t="str">
        <f t="shared" si="1584"/>
        <v>12Go Link</v>
      </c>
      <c r="E10993" s="3" t="s">
        <v>3203</v>
      </c>
      <c r="K10993" s="5"/>
    </row>
    <row r="10994">
      <c r="A10994" s="3" t="s">
        <v>5932</v>
      </c>
      <c r="B10994" s="3" t="s">
        <v>5932</v>
      </c>
      <c r="C10994" s="3" t="s">
        <v>9264</v>
      </c>
      <c r="D10994" s="4" t="str">
        <f t="shared" ref="D10994:D10996" si="1585">HYPERLINK("https://12go.asia/en/travel/Dubai-Port/Deira-Hotel-Transfer", "12Go Link")</f>
        <v>12Go Link</v>
      </c>
      <c r="E10994" s="3" t="s">
        <v>3265</v>
      </c>
      <c r="K10994" s="5"/>
    </row>
    <row r="10995">
      <c r="A10995" s="3" t="s">
        <v>5932</v>
      </c>
      <c r="B10995" s="3" t="s">
        <v>5932</v>
      </c>
      <c r="C10995" s="3" t="s">
        <v>9264</v>
      </c>
      <c r="D10995" s="4" t="str">
        <f t="shared" si="1585"/>
        <v>12Go Link</v>
      </c>
      <c r="E10995" s="3" t="s">
        <v>3196</v>
      </c>
      <c r="K10995" s="5"/>
    </row>
    <row r="10996">
      <c r="A10996" s="3" t="s">
        <v>5932</v>
      </c>
      <c r="B10996" s="3" t="s">
        <v>5932</v>
      </c>
      <c r="C10996" s="3" t="s">
        <v>9264</v>
      </c>
      <c r="D10996" s="4" t="str">
        <f t="shared" si="1585"/>
        <v>12Go Link</v>
      </c>
      <c r="E10996" s="3" t="s">
        <v>3203</v>
      </c>
      <c r="K10996" s="5"/>
    </row>
    <row r="10997">
      <c r="A10997" s="3" t="s">
        <v>5932</v>
      </c>
      <c r="B10997" s="3" t="s">
        <v>5932</v>
      </c>
      <c r="C10997" s="3" t="s">
        <v>9265</v>
      </c>
      <c r="D10997" s="4" t="str">
        <f t="shared" ref="D10997:D10999" si="1586">HYPERLINK("https://12go.asia/en/travel/Dubai-Port/Dubai-Festival-City-Transfer", "12Go Link")</f>
        <v>12Go Link</v>
      </c>
      <c r="E10997" s="3" t="s">
        <v>3265</v>
      </c>
      <c r="K10997" s="5"/>
    </row>
    <row r="10998">
      <c r="A10998" s="3" t="s">
        <v>5932</v>
      </c>
      <c r="B10998" s="3" t="s">
        <v>5932</v>
      </c>
      <c r="C10998" s="3" t="s">
        <v>9265</v>
      </c>
      <c r="D10998" s="4" t="str">
        <f t="shared" si="1586"/>
        <v>12Go Link</v>
      </c>
      <c r="E10998" s="3" t="s">
        <v>3196</v>
      </c>
      <c r="K10998" s="5"/>
    </row>
    <row r="10999">
      <c r="A10999" s="3" t="s">
        <v>5932</v>
      </c>
      <c r="B10999" s="3" t="s">
        <v>5932</v>
      </c>
      <c r="C10999" s="3" t="s">
        <v>9265</v>
      </c>
      <c r="D10999" s="4" t="str">
        <f t="shared" si="1586"/>
        <v>12Go Link</v>
      </c>
      <c r="E10999" s="3" t="s">
        <v>3203</v>
      </c>
      <c r="K10999" s="5"/>
    </row>
    <row r="11000">
      <c r="A11000" s="3" t="s">
        <v>5932</v>
      </c>
      <c r="B11000" s="3" t="s">
        <v>5932</v>
      </c>
      <c r="C11000" s="3" t="s">
        <v>9266</v>
      </c>
      <c r="D11000" s="4" t="str">
        <f t="shared" ref="D11000:D11002" si="1587">HYPERLINK("https://12go.asia/en/travel/Dubai-Port/Dubai-Hotel-Transfer", "12Go Link")</f>
        <v>12Go Link</v>
      </c>
      <c r="E11000" s="3" t="s">
        <v>3265</v>
      </c>
      <c r="K11000" s="5"/>
    </row>
    <row r="11001">
      <c r="A11001" s="3" t="s">
        <v>5932</v>
      </c>
      <c r="B11001" s="3" t="s">
        <v>5932</v>
      </c>
      <c r="C11001" s="3" t="s">
        <v>9266</v>
      </c>
      <c r="D11001" s="4" t="str">
        <f t="shared" si="1587"/>
        <v>12Go Link</v>
      </c>
      <c r="E11001" s="3" t="s">
        <v>3196</v>
      </c>
      <c r="K11001" s="5"/>
    </row>
    <row r="11002">
      <c r="A11002" s="3" t="s">
        <v>5932</v>
      </c>
      <c r="B11002" s="3" t="s">
        <v>5932</v>
      </c>
      <c r="C11002" s="3" t="s">
        <v>9266</v>
      </c>
      <c r="D11002" s="4" t="str">
        <f t="shared" si="1587"/>
        <v>12Go Link</v>
      </c>
      <c r="E11002" s="3" t="s">
        <v>3203</v>
      </c>
      <c r="K11002" s="5"/>
    </row>
    <row r="11003">
      <c r="A11003" s="3" t="s">
        <v>5932</v>
      </c>
      <c r="B11003" s="3" t="s">
        <v>5932</v>
      </c>
      <c r="C11003" s="3" t="s">
        <v>9267</v>
      </c>
      <c r="D11003" s="4" t="str">
        <f t="shared" ref="D11003:D11005" si="1588">HYPERLINK("https://12go.asia/en/travel/Dubai-Port/Dubai-Investments-Park-Transfer", "12Go Link")</f>
        <v>12Go Link</v>
      </c>
      <c r="E11003" s="3" t="s">
        <v>3265</v>
      </c>
      <c r="K11003" s="5"/>
    </row>
    <row r="11004">
      <c r="A11004" s="3" t="s">
        <v>5932</v>
      </c>
      <c r="B11004" s="3" t="s">
        <v>5932</v>
      </c>
      <c r="C11004" s="3" t="s">
        <v>9267</v>
      </c>
      <c r="D11004" s="4" t="str">
        <f t="shared" si="1588"/>
        <v>12Go Link</v>
      </c>
      <c r="E11004" s="3" t="s">
        <v>3196</v>
      </c>
      <c r="K11004" s="5"/>
    </row>
    <row r="11005">
      <c r="A11005" s="3" t="s">
        <v>5932</v>
      </c>
      <c r="B11005" s="3" t="s">
        <v>5932</v>
      </c>
      <c r="C11005" s="3" t="s">
        <v>9267</v>
      </c>
      <c r="D11005" s="4" t="str">
        <f t="shared" si="1588"/>
        <v>12Go Link</v>
      </c>
      <c r="E11005" s="3" t="s">
        <v>3203</v>
      </c>
      <c r="K11005" s="5"/>
    </row>
    <row r="11006">
      <c r="A11006" s="3" t="s">
        <v>5932</v>
      </c>
      <c r="B11006" s="3" t="s">
        <v>5932</v>
      </c>
      <c r="C11006" s="3" t="s">
        <v>9268</v>
      </c>
      <c r="D11006" s="4" t="str">
        <f t="shared" ref="D11006:D11008" si="1589">HYPERLINK("https://12go.asia/en/travel/Dubai-Port/Dubai-Marina-Transfer", "12Go Link")</f>
        <v>12Go Link</v>
      </c>
      <c r="E11006" s="3" t="s">
        <v>3265</v>
      </c>
      <c r="K11006" s="5"/>
    </row>
    <row r="11007">
      <c r="A11007" s="3" t="s">
        <v>5932</v>
      </c>
      <c r="B11007" s="3" t="s">
        <v>5932</v>
      </c>
      <c r="C11007" s="3" t="s">
        <v>9268</v>
      </c>
      <c r="D11007" s="4" t="str">
        <f t="shared" si="1589"/>
        <v>12Go Link</v>
      </c>
      <c r="E11007" s="3" t="s">
        <v>3196</v>
      </c>
      <c r="K11007" s="5"/>
    </row>
    <row r="11008">
      <c r="A11008" s="3" t="s">
        <v>5932</v>
      </c>
      <c r="B11008" s="3" t="s">
        <v>5932</v>
      </c>
      <c r="C11008" s="3" t="s">
        <v>9268</v>
      </c>
      <c r="D11008" s="4" t="str">
        <f t="shared" si="1589"/>
        <v>12Go Link</v>
      </c>
      <c r="E11008" s="3" t="s">
        <v>3203</v>
      </c>
      <c r="K11008" s="5"/>
    </row>
    <row r="11009">
      <c r="A11009" s="3" t="s">
        <v>5932</v>
      </c>
      <c r="B11009" s="3" t="s">
        <v>5932</v>
      </c>
      <c r="C11009" s="3" t="s">
        <v>9269</v>
      </c>
      <c r="D11009" s="4" t="str">
        <f t="shared" ref="D11009:D11011" si="1590">HYPERLINK("https://12go.asia/en/travel/Dubai-Port/Dubai-Silicon-Oasis", "12Go Link")</f>
        <v>12Go Link</v>
      </c>
      <c r="E11009" s="3" t="s">
        <v>3265</v>
      </c>
      <c r="K11009" s="5"/>
    </row>
    <row r="11010">
      <c r="A11010" s="3" t="s">
        <v>5932</v>
      </c>
      <c r="B11010" s="3" t="s">
        <v>5932</v>
      </c>
      <c r="C11010" s="3" t="s">
        <v>9269</v>
      </c>
      <c r="D11010" s="4" t="str">
        <f t="shared" si="1590"/>
        <v>12Go Link</v>
      </c>
      <c r="E11010" s="3" t="s">
        <v>3196</v>
      </c>
      <c r="K11010" s="5"/>
    </row>
    <row r="11011">
      <c r="A11011" s="3" t="s">
        <v>5932</v>
      </c>
      <c r="B11011" s="3" t="s">
        <v>5932</v>
      </c>
      <c r="C11011" s="3" t="s">
        <v>9269</v>
      </c>
      <c r="D11011" s="4" t="str">
        <f t="shared" si="1590"/>
        <v>12Go Link</v>
      </c>
      <c r="E11011" s="3" t="s">
        <v>3203</v>
      </c>
      <c r="K11011" s="5"/>
    </row>
    <row r="11012">
      <c r="A11012" s="3" t="s">
        <v>5932</v>
      </c>
      <c r="B11012" s="3" t="s">
        <v>5932</v>
      </c>
      <c r="C11012" s="3" t="s">
        <v>9270</v>
      </c>
      <c r="D11012" s="4" t="str">
        <f t="shared" ref="D11012:D11014" si="1591">HYPERLINK("https://12go.asia/en/travel/Dubai-Port/Dubai-Sports-City-Transfer", "12Go Link")</f>
        <v>12Go Link</v>
      </c>
      <c r="E11012" s="3" t="s">
        <v>3265</v>
      </c>
      <c r="K11012" s="5"/>
    </row>
    <row r="11013">
      <c r="A11013" s="3" t="s">
        <v>5932</v>
      </c>
      <c r="B11013" s="3" t="s">
        <v>5932</v>
      </c>
      <c r="C11013" s="3" t="s">
        <v>9270</v>
      </c>
      <c r="D11013" s="4" t="str">
        <f t="shared" si="1591"/>
        <v>12Go Link</v>
      </c>
      <c r="E11013" s="3" t="s">
        <v>3196</v>
      </c>
      <c r="K11013" s="5"/>
    </row>
    <row r="11014">
      <c r="A11014" s="3" t="s">
        <v>5932</v>
      </c>
      <c r="B11014" s="3" t="s">
        <v>5932</v>
      </c>
      <c r="C11014" s="3" t="s">
        <v>9270</v>
      </c>
      <c r="D11014" s="4" t="str">
        <f t="shared" si="1591"/>
        <v>12Go Link</v>
      </c>
      <c r="E11014" s="3" t="s">
        <v>3203</v>
      </c>
      <c r="K11014" s="5"/>
    </row>
    <row r="11015">
      <c r="A11015" s="3" t="s">
        <v>5932</v>
      </c>
      <c r="B11015" s="3" t="s">
        <v>5932</v>
      </c>
      <c r="C11015" s="3" t="s">
        <v>9271</v>
      </c>
      <c r="D11015" s="4" t="str">
        <f t="shared" ref="D11015:D11017" si="1592">HYPERLINK("https://12go.asia/en/travel/Dubai-Port/Emirates-Hills-Hotel-Transfer", "12Go Link")</f>
        <v>12Go Link</v>
      </c>
      <c r="E11015" s="3" t="s">
        <v>3265</v>
      </c>
      <c r="K11015" s="5"/>
    </row>
    <row r="11016">
      <c r="A11016" s="3" t="s">
        <v>5932</v>
      </c>
      <c r="B11016" s="3" t="s">
        <v>5932</v>
      </c>
      <c r="C11016" s="3" t="s">
        <v>9271</v>
      </c>
      <c r="D11016" s="4" t="str">
        <f t="shared" si="1592"/>
        <v>12Go Link</v>
      </c>
      <c r="E11016" s="3" t="s">
        <v>3196</v>
      </c>
      <c r="K11016" s="5"/>
    </row>
    <row r="11017">
      <c r="A11017" s="3" t="s">
        <v>5932</v>
      </c>
      <c r="B11017" s="3" t="s">
        <v>5932</v>
      </c>
      <c r="C11017" s="3" t="s">
        <v>9271</v>
      </c>
      <c r="D11017" s="4" t="str">
        <f t="shared" si="1592"/>
        <v>12Go Link</v>
      </c>
      <c r="E11017" s="3" t="s">
        <v>3203</v>
      </c>
      <c r="K11017" s="5"/>
    </row>
    <row r="11018">
      <c r="A11018" s="3" t="s">
        <v>5932</v>
      </c>
      <c r="B11018" s="3" t="s">
        <v>5932</v>
      </c>
      <c r="C11018" s="3" t="s">
        <v>9272</v>
      </c>
      <c r="D11018" s="4" t="str">
        <f t="shared" ref="D11018:D11020" si="1593">HYPERLINK("https://12go.asia/en/travel/Dubai-Port/Jebel-Ali-Hotel-Transfer", "12Go Link")</f>
        <v>12Go Link</v>
      </c>
      <c r="E11018" s="3" t="s">
        <v>3265</v>
      </c>
      <c r="K11018" s="5"/>
    </row>
    <row r="11019">
      <c r="A11019" s="3" t="s">
        <v>5932</v>
      </c>
      <c r="B11019" s="3" t="s">
        <v>5932</v>
      </c>
      <c r="C11019" s="3" t="s">
        <v>9272</v>
      </c>
      <c r="D11019" s="4" t="str">
        <f t="shared" si="1593"/>
        <v>12Go Link</v>
      </c>
      <c r="E11019" s="3" t="s">
        <v>3196</v>
      </c>
      <c r="K11019" s="5"/>
    </row>
    <row r="11020">
      <c r="A11020" s="3" t="s">
        <v>5932</v>
      </c>
      <c r="B11020" s="3" t="s">
        <v>5932</v>
      </c>
      <c r="C11020" s="3" t="s">
        <v>9272</v>
      </c>
      <c r="D11020" s="4" t="str">
        <f t="shared" si="1593"/>
        <v>12Go Link</v>
      </c>
      <c r="E11020" s="3" t="s">
        <v>3203</v>
      </c>
      <c r="K11020" s="5"/>
    </row>
    <row r="11021">
      <c r="A11021" s="3" t="s">
        <v>5932</v>
      </c>
      <c r="B11021" s="3" t="s">
        <v>5932</v>
      </c>
      <c r="C11021" s="3" t="s">
        <v>9273</v>
      </c>
      <c r="D11021" s="4" t="str">
        <f t="shared" ref="D11021:D11023" si="1594">HYPERLINK("https://12go.asia/en/travel/Dubai-Port/Jumeirah-Beach-Transfer", "12Go Link")</f>
        <v>12Go Link</v>
      </c>
      <c r="E11021" s="3" t="s">
        <v>3265</v>
      </c>
      <c r="K11021" s="5"/>
    </row>
    <row r="11022">
      <c r="A11022" s="3" t="s">
        <v>5932</v>
      </c>
      <c r="B11022" s="3" t="s">
        <v>5932</v>
      </c>
      <c r="C11022" s="3" t="s">
        <v>9273</v>
      </c>
      <c r="D11022" s="4" t="str">
        <f t="shared" si="1594"/>
        <v>12Go Link</v>
      </c>
      <c r="E11022" s="3" t="s">
        <v>3196</v>
      </c>
      <c r="K11022" s="5"/>
    </row>
    <row r="11023">
      <c r="A11023" s="3" t="s">
        <v>5932</v>
      </c>
      <c r="B11023" s="3" t="s">
        <v>5932</v>
      </c>
      <c r="C11023" s="3" t="s">
        <v>9273</v>
      </c>
      <c r="D11023" s="4" t="str">
        <f t="shared" si="1594"/>
        <v>12Go Link</v>
      </c>
      <c r="E11023" s="3" t="s">
        <v>3203</v>
      </c>
      <c r="K11023" s="5"/>
    </row>
    <row r="11024">
      <c r="A11024" s="3" t="s">
        <v>5932</v>
      </c>
      <c r="B11024" s="3" t="s">
        <v>5932</v>
      </c>
      <c r="C11024" s="3" t="s">
        <v>9274</v>
      </c>
      <c r="D11024" s="4" t="str">
        <f t="shared" ref="D11024:D11026" si="1595">HYPERLINK("https://12go.asia/en/travel/Dubai-Port/Jumeirah-Golf-Estates", "12Go Link")</f>
        <v>12Go Link</v>
      </c>
      <c r="E11024" s="3" t="s">
        <v>3265</v>
      </c>
      <c r="K11024" s="5"/>
    </row>
    <row r="11025">
      <c r="A11025" s="3" t="s">
        <v>5932</v>
      </c>
      <c r="B11025" s="3" t="s">
        <v>5932</v>
      </c>
      <c r="C11025" s="3" t="s">
        <v>9274</v>
      </c>
      <c r="D11025" s="4" t="str">
        <f t="shared" si="1595"/>
        <v>12Go Link</v>
      </c>
      <c r="E11025" s="3" t="s">
        <v>3196</v>
      </c>
      <c r="K11025" s="5"/>
    </row>
    <row r="11026">
      <c r="A11026" s="3" t="s">
        <v>5932</v>
      </c>
      <c r="B11026" s="3" t="s">
        <v>5932</v>
      </c>
      <c r="C11026" s="3" t="s">
        <v>9274</v>
      </c>
      <c r="D11026" s="4" t="str">
        <f t="shared" si="1595"/>
        <v>12Go Link</v>
      </c>
      <c r="E11026" s="3" t="s">
        <v>3203</v>
      </c>
      <c r="K11026" s="5"/>
    </row>
    <row r="11027">
      <c r="A11027" s="3" t="s">
        <v>5932</v>
      </c>
      <c r="B11027" s="3" t="s">
        <v>5932</v>
      </c>
      <c r="C11027" s="3" t="s">
        <v>9275</v>
      </c>
      <c r="D11027" s="4" t="str">
        <f t="shared" ref="D11027:D11029" si="1596">HYPERLINK("https://12go.asia/en/travel/Dubai-Port/Motiongate-Dubai", "12Go Link")</f>
        <v>12Go Link</v>
      </c>
      <c r="E11027" s="3" t="s">
        <v>3265</v>
      </c>
      <c r="K11027" s="5"/>
    </row>
    <row r="11028">
      <c r="A11028" s="3" t="s">
        <v>5932</v>
      </c>
      <c r="B11028" s="3" t="s">
        <v>5932</v>
      </c>
      <c r="C11028" s="3" t="s">
        <v>9275</v>
      </c>
      <c r="D11028" s="4" t="str">
        <f t="shared" si="1596"/>
        <v>12Go Link</v>
      </c>
      <c r="E11028" s="3" t="s">
        <v>3196</v>
      </c>
      <c r="K11028" s="5"/>
    </row>
    <row r="11029">
      <c r="A11029" s="3" t="s">
        <v>5932</v>
      </c>
      <c r="B11029" s="3" t="s">
        <v>5932</v>
      </c>
      <c r="C11029" s="3" t="s">
        <v>9275</v>
      </c>
      <c r="D11029" s="4" t="str">
        <f t="shared" si="1596"/>
        <v>12Go Link</v>
      </c>
      <c r="E11029" s="3" t="s">
        <v>3203</v>
      </c>
      <c r="K11029" s="5"/>
    </row>
    <row r="11030">
      <c r="A11030" s="3" t="s">
        <v>5932</v>
      </c>
      <c r="B11030" s="3" t="s">
        <v>5932</v>
      </c>
      <c r="C11030" s="3" t="s">
        <v>9276</v>
      </c>
      <c r="D11030" s="4" t="str">
        <f t="shared" ref="D11030:D11032" si="1597">HYPERLINK("https://12go.asia/en/travel/Dubai-Port/Nad-Al-Sheba-Hotel-Transfer", "12Go Link")</f>
        <v>12Go Link</v>
      </c>
      <c r="E11030" s="3" t="s">
        <v>3265</v>
      </c>
      <c r="K11030" s="5"/>
    </row>
    <row r="11031">
      <c r="A11031" s="3" t="s">
        <v>5932</v>
      </c>
      <c r="B11031" s="3" t="s">
        <v>5932</v>
      </c>
      <c r="C11031" s="3" t="s">
        <v>9276</v>
      </c>
      <c r="D11031" s="4" t="str">
        <f t="shared" si="1597"/>
        <v>12Go Link</v>
      </c>
      <c r="E11031" s="3" t="s">
        <v>3196</v>
      </c>
      <c r="K11031" s="5"/>
    </row>
    <row r="11032">
      <c r="A11032" s="3" t="s">
        <v>5932</v>
      </c>
      <c r="B11032" s="3" t="s">
        <v>5932</v>
      </c>
      <c r="C11032" s="3" t="s">
        <v>9276</v>
      </c>
      <c r="D11032" s="4" t="str">
        <f t="shared" si="1597"/>
        <v>12Go Link</v>
      </c>
      <c r="E11032" s="3" t="s">
        <v>3203</v>
      </c>
      <c r="K11032" s="5"/>
    </row>
    <row r="11033">
      <c r="A11033" s="3" t="s">
        <v>5932</v>
      </c>
      <c r="B11033" s="3" t="s">
        <v>5932</v>
      </c>
      <c r="C11033" s="3" t="s">
        <v>9277</v>
      </c>
      <c r="D11033" s="4" t="str">
        <f t="shared" ref="D11033:D11035" si="1598">HYPERLINK("https://12go.asia/en/travel/Dubai-Port/Sheikh-Zayed-Road", "12Go Link")</f>
        <v>12Go Link</v>
      </c>
      <c r="E11033" s="3" t="s">
        <v>3265</v>
      </c>
      <c r="K11033" s="5"/>
    </row>
    <row r="11034">
      <c r="A11034" s="3" t="s">
        <v>5932</v>
      </c>
      <c r="B11034" s="3" t="s">
        <v>5932</v>
      </c>
      <c r="C11034" s="3" t="s">
        <v>9277</v>
      </c>
      <c r="D11034" s="4" t="str">
        <f t="shared" si="1598"/>
        <v>12Go Link</v>
      </c>
      <c r="E11034" s="3" t="s">
        <v>3196</v>
      </c>
      <c r="K11034" s="5"/>
    </row>
    <row r="11035">
      <c r="A11035" s="3" t="s">
        <v>5932</v>
      </c>
      <c r="B11035" s="3" t="s">
        <v>5932</v>
      </c>
      <c r="C11035" s="3" t="s">
        <v>9277</v>
      </c>
      <c r="D11035" s="4" t="str">
        <f t="shared" si="1598"/>
        <v>12Go Link</v>
      </c>
      <c r="E11035" s="3" t="s">
        <v>3203</v>
      </c>
      <c r="K11035" s="5"/>
    </row>
    <row r="11036">
      <c r="A11036" s="3" t="s">
        <v>5932</v>
      </c>
      <c r="B11036" s="3" t="s">
        <v>5932</v>
      </c>
      <c r="C11036" s="3" t="s">
        <v>9278</v>
      </c>
      <c r="D11036" s="4" t="str">
        <f t="shared" ref="D11036:D11038" si="1599">HYPERLINK("https://12go.asia/en/travel/Dubai-Port/The-Palm-Jumeirah-Hotel-Transfer", "12Go Link")</f>
        <v>12Go Link</v>
      </c>
      <c r="E11036" s="3" t="s">
        <v>3265</v>
      </c>
      <c r="K11036" s="5"/>
    </row>
    <row r="11037">
      <c r="A11037" s="3" t="s">
        <v>5932</v>
      </c>
      <c r="B11037" s="3" t="s">
        <v>5932</v>
      </c>
      <c r="C11037" s="3" t="s">
        <v>9278</v>
      </c>
      <c r="D11037" s="4" t="str">
        <f t="shared" si="1599"/>
        <v>12Go Link</v>
      </c>
      <c r="E11037" s="3" t="s">
        <v>3196</v>
      </c>
      <c r="K11037" s="5"/>
    </row>
    <row r="11038">
      <c r="A11038" s="3" t="s">
        <v>5932</v>
      </c>
      <c r="B11038" s="3" t="s">
        <v>5932</v>
      </c>
      <c r="C11038" s="3" t="s">
        <v>9278</v>
      </c>
      <c r="D11038" s="4" t="str">
        <f t="shared" si="1599"/>
        <v>12Go Link</v>
      </c>
      <c r="E11038" s="3" t="s">
        <v>3203</v>
      </c>
      <c r="K11038" s="5"/>
    </row>
    <row r="11039">
      <c r="A11039" s="3" t="s">
        <v>5932</v>
      </c>
      <c r="B11039" s="3" t="s">
        <v>5932</v>
      </c>
      <c r="C11039" s="3" t="s">
        <v>9279</v>
      </c>
      <c r="D11039" s="4" t="str">
        <f t="shared" ref="D11039:D11042" si="1600">HYPERLINK("https://12go.asia/en/travel/Dubai-Silicon-Oasis/Dubai-International-Airport", "12Go Link")</f>
        <v>12Go Link</v>
      </c>
      <c r="E11039" s="3" t="s">
        <v>3265</v>
      </c>
      <c r="K11039" s="5"/>
    </row>
    <row r="11040">
      <c r="A11040" s="3" t="s">
        <v>5932</v>
      </c>
      <c r="B11040" s="3" t="s">
        <v>5932</v>
      </c>
      <c r="C11040" s="3" t="s">
        <v>9279</v>
      </c>
      <c r="D11040" s="4" t="str">
        <f t="shared" si="1600"/>
        <v>12Go Link</v>
      </c>
      <c r="E11040" s="3" t="s">
        <v>3196</v>
      </c>
      <c r="K11040" s="5"/>
    </row>
    <row r="11041">
      <c r="A11041" s="3" t="s">
        <v>5932</v>
      </c>
      <c r="B11041" s="3" t="s">
        <v>5932</v>
      </c>
      <c r="C11041" s="3" t="s">
        <v>9279</v>
      </c>
      <c r="D11041" s="4" t="str">
        <f t="shared" si="1600"/>
        <v>12Go Link</v>
      </c>
      <c r="E11041" s="3" t="s">
        <v>226</v>
      </c>
      <c r="K11041" s="5"/>
    </row>
    <row r="11042">
      <c r="A11042" s="3" t="s">
        <v>5932</v>
      </c>
      <c r="B11042" s="3" t="s">
        <v>5932</v>
      </c>
      <c r="C11042" s="3" t="s">
        <v>9279</v>
      </c>
      <c r="D11042" s="4" t="str">
        <f t="shared" si="1600"/>
        <v>12Go Link</v>
      </c>
      <c r="E11042" s="3" t="s">
        <v>3203</v>
      </c>
      <c r="K11042" s="5"/>
    </row>
    <row r="11043">
      <c r="A11043" s="3" t="s">
        <v>5932</v>
      </c>
      <c r="B11043" s="3" t="s">
        <v>5932</v>
      </c>
      <c r="C11043" s="3" t="s">
        <v>9280</v>
      </c>
      <c r="D11043" s="4" t="str">
        <f t="shared" ref="D11043:D11045" si="1601">HYPERLINK("https://12go.asia/en/travel/Dubai-Silicon-Oasis/Dubai-Port", "12Go Link")</f>
        <v>12Go Link</v>
      </c>
      <c r="E11043" s="3" t="s">
        <v>3265</v>
      </c>
      <c r="K11043" s="5"/>
    </row>
    <row r="11044">
      <c r="A11044" s="3" t="s">
        <v>5932</v>
      </c>
      <c r="B11044" s="3" t="s">
        <v>5932</v>
      </c>
      <c r="C11044" s="3" t="s">
        <v>9280</v>
      </c>
      <c r="D11044" s="4" t="str">
        <f t="shared" si="1601"/>
        <v>12Go Link</v>
      </c>
      <c r="E11044" s="3" t="s">
        <v>3196</v>
      </c>
      <c r="K11044" s="5"/>
    </row>
    <row r="11045">
      <c r="A11045" s="3" t="s">
        <v>5932</v>
      </c>
      <c r="B11045" s="3" t="s">
        <v>5932</v>
      </c>
      <c r="C11045" s="3" t="s">
        <v>9280</v>
      </c>
      <c r="D11045" s="4" t="str">
        <f t="shared" si="1601"/>
        <v>12Go Link</v>
      </c>
      <c r="E11045" s="3" t="s">
        <v>3203</v>
      </c>
      <c r="K11045" s="5"/>
    </row>
    <row r="11046">
      <c r="A11046" s="3" t="s">
        <v>5932</v>
      </c>
      <c r="B11046" s="3" t="s">
        <v>5932</v>
      </c>
      <c r="C11046" s="3" t="s">
        <v>9281</v>
      </c>
      <c r="D11046" s="4" t="str">
        <f t="shared" ref="D11046:D11049" si="1602">HYPERLINK("https://12go.asia/en/travel/Dubai-Sports-City-Transfer/Dubai-International-Airport", "12Go Link")</f>
        <v>12Go Link</v>
      </c>
      <c r="E11046" s="3" t="s">
        <v>3265</v>
      </c>
      <c r="K11046" s="5"/>
    </row>
    <row r="11047">
      <c r="A11047" s="3" t="s">
        <v>5932</v>
      </c>
      <c r="B11047" s="3" t="s">
        <v>5932</v>
      </c>
      <c r="C11047" s="3" t="s">
        <v>9281</v>
      </c>
      <c r="D11047" s="4" t="str">
        <f t="shared" si="1602"/>
        <v>12Go Link</v>
      </c>
      <c r="E11047" s="3" t="s">
        <v>3196</v>
      </c>
      <c r="K11047" s="5"/>
    </row>
    <row r="11048">
      <c r="A11048" s="3" t="s">
        <v>5932</v>
      </c>
      <c r="B11048" s="3" t="s">
        <v>5932</v>
      </c>
      <c r="C11048" s="3" t="s">
        <v>9281</v>
      </c>
      <c r="D11048" s="4" t="str">
        <f t="shared" si="1602"/>
        <v>12Go Link</v>
      </c>
      <c r="E11048" s="3" t="s">
        <v>226</v>
      </c>
      <c r="K11048" s="5"/>
    </row>
    <row r="11049">
      <c r="A11049" s="3" t="s">
        <v>5932</v>
      </c>
      <c r="B11049" s="3" t="s">
        <v>5932</v>
      </c>
      <c r="C11049" s="3" t="s">
        <v>9281</v>
      </c>
      <c r="D11049" s="4" t="str">
        <f t="shared" si="1602"/>
        <v>12Go Link</v>
      </c>
      <c r="E11049" s="3" t="s">
        <v>3203</v>
      </c>
      <c r="K11049" s="5"/>
    </row>
    <row r="11050">
      <c r="A11050" s="3" t="s">
        <v>5932</v>
      </c>
      <c r="B11050" s="3" t="s">
        <v>5932</v>
      </c>
      <c r="C11050" s="3" t="s">
        <v>9282</v>
      </c>
      <c r="D11050" s="4" t="str">
        <f t="shared" ref="D11050:D11052" si="1603">HYPERLINK("https://12go.asia/en/travel/Dubai-Sports-City-Transfer/Dubai-Port", "12Go Link")</f>
        <v>12Go Link</v>
      </c>
      <c r="E11050" s="3" t="s">
        <v>3265</v>
      </c>
      <c r="K11050" s="5"/>
    </row>
    <row r="11051">
      <c r="A11051" s="3" t="s">
        <v>5932</v>
      </c>
      <c r="B11051" s="3" t="s">
        <v>5932</v>
      </c>
      <c r="C11051" s="3" t="s">
        <v>9282</v>
      </c>
      <c r="D11051" s="4" t="str">
        <f t="shared" si="1603"/>
        <v>12Go Link</v>
      </c>
      <c r="E11051" s="3" t="s">
        <v>3196</v>
      </c>
      <c r="K11051" s="5"/>
    </row>
    <row r="11052">
      <c r="A11052" s="3" t="s">
        <v>5932</v>
      </c>
      <c r="B11052" s="3" t="s">
        <v>5932</v>
      </c>
      <c r="C11052" s="3" t="s">
        <v>9282</v>
      </c>
      <c r="D11052" s="4" t="str">
        <f t="shared" si="1603"/>
        <v>12Go Link</v>
      </c>
      <c r="E11052" s="3" t="s">
        <v>3203</v>
      </c>
      <c r="K11052" s="5"/>
    </row>
    <row r="11053">
      <c r="A11053" s="3" t="s">
        <v>5932</v>
      </c>
      <c r="B11053" s="3" t="s">
        <v>5932</v>
      </c>
      <c r="C11053" s="3" t="s">
        <v>9283</v>
      </c>
      <c r="D11053" s="4" t="str">
        <f t="shared" ref="D11053:D11056" si="1604">HYPERLINK("https://12go.asia/en/travel/Emirates-Hills-Hotel-Transfer/Dubai-International-Airport", "12Go Link")</f>
        <v>12Go Link</v>
      </c>
      <c r="E11053" s="3" t="s">
        <v>3265</v>
      </c>
      <c r="K11053" s="5"/>
    </row>
    <row r="11054">
      <c r="A11054" s="3" t="s">
        <v>5932</v>
      </c>
      <c r="B11054" s="3" t="s">
        <v>5932</v>
      </c>
      <c r="C11054" s="3" t="s">
        <v>9283</v>
      </c>
      <c r="D11054" s="4" t="str">
        <f t="shared" si="1604"/>
        <v>12Go Link</v>
      </c>
      <c r="E11054" s="3" t="s">
        <v>3196</v>
      </c>
      <c r="K11054" s="5"/>
    </row>
    <row r="11055">
      <c r="A11055" s="3" t="s">
        <v>5932</v>
      </c>
      <c r="B11055" s="3" t="s">
        <v>5932</v>
      </c>
      <c r="C11055" s="3" t="s">
        <v>9283</v>
      </c>
      <c r="D11055" s="4" t="str">
        <f t="shared" si="1604"/>
        <v>12Go Link</v>
      </c>
      <c r="E11055" s="3" t="s">
        <v>226</v>
      </c>
      <c r="K11055" s="5"/>
    </row>
    <row r="11056">
      <c r="A11056" s="3" t="s">
        <v>5932</v>
      </c>
      <c r="B11056" s="3" t="s">
        <v>5932</v>
      </c>
      <c r="C11056" s="3" t="s">
        <v>9283</v>
      </c>
      <c r="D11056" s="4" t="str">
        <f t="shared" si="1604"/>
        <v>12Go Link</v>
      </c>
      <c r="E11056" s="3" t="s">
        <v>3203</v>
      </c>
      <c r="K11056" s="5"/>
    </row>
    <row r="11057">
      <c r="A11057" s="3" t="s">
        <v>5932</v>
      </c>
      <c r="B11057" s="3" t="s">
        <v>5932</v>
      </c>
      <c r="C11057" s="3" t="s">
        <v>9284</v>
      </c>
      <c r="D11057" s="4" t="str">
        <f t="shared" ref="D11057:D11059" si="1605">HYPERLINK("https://12go.asia/en/travel/Emirates-Hills-Hotel-Transfer/Dubai-Port", "12Go Link")</f>
        <v>12Go Link</v>
      </c>
      <c r="E11057" s="3" t="s">
        <v>3265</v>
      </c>
      <c r="K11057" s="5"/>
    </row>
    <row r="11058">
      <c r="A11058" s="3" t="s">
        <v>5932</v>
      </c>
      <c r="B11058" s="3" t="s">
        <v>5932</v>
      </c>
      <c r="C11058" s="3" t="s">
        <v>9284</v>
      </c>
      <c r="D11058" s="4" t="str">
        <f t="shared" si="1605"/>
        <v>12Go Link</v>
      </c>
      <c r="E11058" s="3" t="s">
        <v>3196</v>
      </c>
      <c r="K11058" s="5"/>
    </row>
    <row r="11059">
      <c r="A11059" s="3" t="s">
        <v>5932</v>
      </c>
      <c r="B11059" s="3" t="s">
        <v>5932</v>
      </c>
      <c r="C11059" s="3" t="s">
        <v>9284</v>
      </c>
      <c r="D11059" s="4" t="str">
        <f t="shared" si="1605"/>
        <v>12Go Link</v>
      </c>
      <c r="E11059" s="3" t="s">
        <v>3203</v>
      </c>
      <c r="K11059" s="5"/>
    </row>
    <row r="11060">
      <c r="A11060" s="3" t="s">
        <v>5932</v>
      </c>
      <c r="B11060" s="3" t="s">
        <v>5932</v>
      </c>
      <c r="C11060" s="3" t="s">
        <v>9285</v>
      </c>
      <c r="D11060" s="4" t="str">
        <f t="shared" ref="D11060:D11063" si="1606">HYPERLINK("https://12go.asia/en/travel/Jebel-Ali-Hotel-Transfer/Dubai-International-Airport", "12Go Link")</f>
        <v>12Go Link</v>
      </c>
      <c r="E11060" s="3" t="s">
        <v>3265</v>
      </c>
      <c r="K11060" s="5"/>
    </row>
    <row r="11061">
      <c r="A11061" s="3" t="s">
        <v>5932</v>
      </c>
      <c r="B11061" s="3" t="s">
        <v>5932</v>
      </c>
      <c r="C11061" s="3" t="s">
        <v>9285</v>
      </c>
      <c r="D11061" s="4" t="str">
        <f t="shared" si="1606"/>
        <v>12Go Link</v>
      </c>
      <c r="E11061" s="3" t="s">
        <v>3196</v>
      </c>
      <c r="K11061" s="5"/>
    </row>
    <row r="11062">
      <c r="A11062" s="3" t="s">
        <v>5932</v>
      </c>
      <c r="B11062" s="3" t="s">
        <v>5932</v>
      </c>
      <c r="C11062" s="3" t="s">
        <v>9285</v>
      </c>
      <c r="D11062" s="4" t="str">
        <f t="shared" si="1606"/>
        <v>12Go Link</v>
      </c>
      <c r="E11062" s="3" t="s">
        <v>226</v>
      </c>
      <c r="K11062" s="5"/>
    </row>
    <row r="11063">
      <c r="A11063" s="3" t="s">
        <v>5932</v>
      </c>
      <c r="B11063" s="3" t="s">
        <v>5932</v>
      </c>
      <c r="C11063" s="3" t="s">
        <v>9285</v>
      </c>
      <c r="D11063" s="4" t="str">
        <f t="shared" si="1606"/>
        <v>12Go Link</v>
      </c>
      <c r="E11063" s="3" t="s">
        <v>3203</v>
      </c>
      <c r="K11063" s="5"/>
    </row>
    <row r="11064">
      <c r="A11064" s="3" t="s">
        <v>5932</v>
      </c>
      <c r="B11064" s="3" t="s">
        <v>5932</v>
      </c>
      <c r="C11064" s="3" t="s">
        <v>9286</v>
      </c>
      <c r="D11064" s="4" t="str">
        <f t="shared" ref="D11064:D11066" si="1607">HYPERLINK("https://12go.asia/en/travel/Jebel-Ali-Hotel-Transfer/Dubai-Port", "12Go Link")</f>
        <v>12Go Link</v>
      </c>
      <c r="E11064" s="3" t="s">
        <v>3265</v>
      </c>
      <c r="K11064" s="5"/>
    </row>
    <row r="11065">
      <c r="A11065" s="3" t="s">
        <v>5932</v>
      </c>
      <c r="B11065" s="3" t="s">
        <v>5932</v>
      </c>
      <c r="C11065" s="3" t="s">
        <v>9286</v>
      </c>
      <c r="D11065" s="4" t="str">
        <f t="shared" si="1607"/>
        <v>12Go Link</v>
      </c>
      <c r="E11065" s="3" t="s">
        <v>3196</v>
      </c>
      <c r="K11065" s="5"/>
    </row>
    <row r="11066">
      <c r="A11066" s="3" t="s">
        <v>5932</v>
      </c>
      <c r="B11066" s="3" t="s">
        <v>5932</v>
      </c>
      <c r="C11066" s="3" t="s">
        <v>9286</v>
      </c>
      <c r="D11066" s="4" t="str">
        <f t="shared" si="1607"/>
        <v>12Go Link</v>
      </c>
      <c r="E11066" s="3" t="s">
        <v>3203</v>
      </c>
      <c r="K11066" s="5"/>
    </row>
    <row r="11067">
      <c r="A11067" s="3" t="s">
        <v>5932</v>
      </c>
      <c r="B11067" s="3" t="s">
        <v>5932</v>
      </c>
      <c r="C11067" s="3" t="s">
        <v>9287</v>
      </c>
      <c r="D11067" s="4" t="str">
        <f t="shared" ref="D11067:D11070" si="1608">HYPERLINK("https://12go.asia/en/travel/Jumeirah-Beach-Transfer/Dubai-International-Airport", "12Go Link")</f>
        <v>12Go Link</v>
      </c>
      <c r="E11067" s="3" t="s">
        <v>3265</v>
      </c>
      <c r="K11067" s="5"/>
    </row>
    <row r="11068">
      <c r="A11068" s="3" t="s">
        <v>5932</v>
      </c>
      <c r="B11068" s="3" t="s">
        <v>5932</v>
      </c>
      <c r="C11068" s="3" t="s">
        <v>9287</v>
      </c>
      <c r="D11068" s="4" t="str">
        <f t="shared" si="1608"/>
        <v>12Go Link</v>
      </c>
      <c r="E11068" s="3" t="s">
        <v>3196</v>
      </c>
      <c r="K11068" s="5"/>
    </row>
    <row r="11069">
      <c r="A11069" s="3" t="s">
        <v>5932</v>
      </c>
      <c r="B11069" s="3" t="s">
        <v>5932</v>
      </c>
      <c r="C11069" s="3" t="s">
        <v>9287</v>
      </c>
      <c r="D11069" s="4" t="str">
        <f t="shared" si="1608"/>
        <v>12Go Link</v>
      </c>
      <c r="E11069" s="3" t="s">
        <v>226</v>
      </c>
      <c r="K11069" s="5"/>
    </row>
    <row r="11070">
      <c r="A11070" s="3" t="s">
        <v>5932</v>
      </c>
      <c r="B11070" s="3" t="s">
        <v>5932</v>
      </c>
      <c r="C11070" s="3" t="s">
        <v>9287</v>
      </c>
      <c r="D11070" s="4" t="str">
        <f t="shared" si="1608"/>
        <v>12Go Link</v>
      </c>
      <c r="E11070" s="3" t="s">
        <v>3203</v>
      </c>
      <c r="K11070" s="5"/>
    </row>
    <row r="11071">
      <c r="A11071" s="3" t="s">
        <v>5932</v>
      </c>
      <c r="B11071" s="3" t="s">
        <v>5932</v>
      </c>
      <c r="C11071" s="3" t="s">
        <v>9288</v>
      </c>
      <c r="D11071" s="4" t="str">
        <f t="shared" ref="D11071:D11073" si="1609">HYPERLINK("https://12go.asia/en/travel/Jumeirah-Beach-Transfer/Dubai-Port", "12Go Link")</f>
        <v>12Go Link</v>
      </c>
      <c r="E11071" s="3" t="s">
        <v>3265</v>
      </c>
      <c r="K11071" s="5"/>
    </row>
    <row r="11072">
      <c r="A11072" s="3" t="s">
        <v>5932</v>
      </c>
      <c r="B11072" s="3" t="s">
        <v>5932</v>
      </c>
      <c r="C11072" s="3" t="s">
        <v>9288</v>
      </c>
      <c r="D11072" s="4" t="str">
        <f t="shared" si="1609"/>
        <v>12Go Link</v>
      </c>
      <c r="E11072" s="3" t="s">
        <v>3196</v>
      </c>
      <c r="K11072" s="5"/>
    </row>
    <row r="11073">
      <c r="A11073" s="3" t="s">
        <v>5932</v>
      </c>
      <c r="B11073" s="3" t="s">
        <v>5932</v>
      </c>
      <c r="C11073" s="3" t="s">
        <v>9288</v>
      </c>
      <c r="D11073" s="4" t="str">
        <f t="shared" si="1609"/>
        <v>12Go Link</v>
      </c>
      <c r="E11073" s="3" t="s">
        <v>3203</v>
      </c>
      <c r="K11073" s="5"/>
    </row>
    <row r="11074">
      <c r="A11074" s="3" t="s">
        <v>5932</v>
      </c>
      <c r="B11074" s="3" t="s">
        <v>5932</v>
      </c>
      <c r="C11074" s="3" t="s">
        <v>9289</v>
      </c>
      <c r="D11074" s="4" t="str">
        <f t="shared" ref="D11074:D11077" si="1610">HYPERLINK("https://12go.asia/en/travel/Jumeirah-Golf-Estates/Dubai-International-Airport", "12Go Link")</f>
        <v>12Go Link</v>
      </c>
      <c r="E11074" s="3" t="s">
        <v>3265</v>
      </c>
      <c r="K11074" s="5"/>
    </row>
    <row r="11075">
      <c r="A11075" s="3" t="s">
        <v>5932</v>
      </c>
      <c r="B11075" s="3" t="s">
        <v>5932</v>
      </c>
      <c r="C11075" s="3" t="s">
        <v>9289</v>
      </c>
      <c r="D11075" s="4" t="str">
        <f t="shared" si="1610"/>
        <v>12Go Link</v>
      </c>
      <c r="E11075" s="3" t="s">
        <v>3196</v>
      </c>
      <c r="K11075" s="5"/>
    </row>
    <row r="11076">
      <c r="A11076" s="3" t="s">
        <v>5932</v>
      </c>
      <c r="B11076" s="3" t="s">
        <v>5932</v>
      </c>
      <c r="C11076" s="3" t="s">
        <v>9289</v>
      </c>
      <c r="D11076" s="4" t="str">
        <f t="shared" si="1610"/>
        <v>12Go Link</v>
      </c>
      <c r="E11076" s="3" t="s">
        <v>226</v>
      </c>
      <c r="K11076" s="5"/>
    </row>
    <row r="11077">
      <c r="A11077" s="3" t="s">
        <v>5932</v>
      </c>
      <c r="B11077" s="3" t="s">
        <v>5932</v>
      </c>
      <c r="C11077" s="3" t="s">
        <v>9289</v>
      </c>
      <c r="D11077" s="4" t="str">
        <f t="shared" si="1610"/>
        <v>12Go Link</v>
      </c>
      <c r="E11077" s="3" t="s">
        <v>3203</v>
      </c>
      <c r="K11077" s="5"/>
    </row>
    <row r="11078">
      <c r="A11078" s="3" t="s">
        <v>5932</v>
      </c>
      <c r="B11078" s="3" t="s">
        <v>5932</v>
      </c>
      <c r="C11078" s="3" t="s">
        <v>9290</v>
      </c>
      <c r="D11078" s="4" t="str">
        <f t="shared" ref="D11078:D11080" si="1611">HYPERLINK("https://12go.asia/en/travel/Jumeirah-Golf-Estates/Dubai-Port", "12Go Link")</f>
        <v>12Go Link</v>
      </c>
      <c r="E11078" s="3" t="s">
        <v>3265</v>
      </c>
      <c r="K11078" s="5"/>
    </row>
    <row r="11079">
      <c r="A11079" s="3" t="s">
        <v>5932</v>
      </c>
      <c r="B11079" s="3" t="s">
        <v>5932</v>
      </c>
      <c r="C11079" s="3" t="s">
        <v>9290</v>
      </c>
      <c r="D11079" s="4" t="str">
        <f t="shared" si="1611"/>
        <v>12Go Link</v>
      </c>
      <c r="E11079" s="3" t="s">
        <v>3196</v>
      </c>
      <c r="K11079" s="5"/>
    </row>
    <row r="11080">
      <c r="A11080" s="3" t="s">
        <v>5932</v>
      </c>
      <c r="B11080" s="3" t="s">
        <v>5932</v>
      </c>
      <c r="C11080" s="3" t="s">
        <v>9290</v>
      </c>
      <c r="D11080" s="4" t="str">
        <f t="shared" si="1611"/>
        <v>12Go Link</v>
      </c>
      <c r="E11080" s="3" t="s">
        <v>3203</v>
      </c>
      <c r="K11080" s="5"/>
    </row>
    <row r="11081">
      <c r="A11081" s="3" t="s">
        <v>5932</v>
      </c>
      <c r="B11081" s="3" t="s">
        <v>5932</v>
      </c>
      <c r="C11081" s="3" t="s">
        <v>9291</v>
      </c>
      <c r="D11081" s="4" t="str">
        <f t="shared" ref="D11081:D11084" si="1612">HYPERLINK("https://12go.asia/en/travel/Motiongate-Dubai/Dubai-International-Airport", "12Go Link")</f>
        <v>12Go Link</v>
      </c>
      <c r="E11081" s="3" t="s">
        <v>3265</v>
      </c>
      <c r="K11081" s="5"/>
    </row>
    <row r="11082">
      <c r="A11082" s="3" t="s">
        <v>5932</v>
      </c>
      <c r="B11082" s="3" t="s">
        <v>5932</v>
      </c>
      <c r="C11082" s="3" t="s">
        <v>9291</v>
      </c>
      <c r="D11082" s="4" t="str">
        <f t="shared" si="1612"/>
        <v>12Go Link</v>
      </c>
      <c r="E11082" s="3" t="s">
        <v>3196</v>
      </c>
      <c r="K11082" s="5"/>
    </row>
    <row r="11083">
      <c r="A11083" s="3" t="s">
        <v>5932</v>
      </c>
      <c r="B11083" s="3" t="s">
        <v>5932</v>
      </c>
      <c r="C11083" s="3" t="s">
        <v>9291</v>
      </c>
      <c r="D11083" s="4" t="str">
        <f t="shared" si="1612"/>
        <v>12Go Link</v>
      </c>
      <c r="E11083" s="3" t="s">
        <v>226</v>
      </c>
      <c r="K11083" s="5"/>
    </row>
    <row r="11084">
      <c r="A11084" s="3" t="s">
        <v>5932</v>
      </c>
      <c r="B11084" s="3" t="s">
        <v>5932</v>
      </c>
      <c r="C11084" s="3" t="s">
        <v>9291</v>
      </c>
      <c r="D11084" s="4" t="str">
        <f t="shared" si="1612"/>
        <v>12Go Link</v>
      </c>
      <c r="E11084" s="3" t="s">
        <v>3203</v>
      </c>
      <c r="K11084" s="5"/>
    </row>
    <row r="11085">
      <c r="A11085" s="3" t="s">
        <v>5932</v>
      </c>
      <c r="B11085" s="3" t="s">
        <v>5932</v>
      </c>
      <c r="C11085" s="3" t="s">
        <v>9292</v>
      </c>
      <c r="D11085" s="4" t="str">
        <f t="shared" ref="D11085:D11087" si="1613">HYPERLINK("https://12go.asia/en/travel/Motiongate-Dubai/Dubai-Port", "12Go Link")</f>
        <v>12Go Link</v>
      </c>
      <c r="E11085" s="3" t="s">
        <v>3265</v>
      </c>
      <c r="K11085" s="5"/>
    </row>
    <row r="11086">
      <c r="A11086" s="3" t="s">
        <v>5932</v>
      </c>
      <c r="B11086" s="3" t="s">
        <v>5932</v>
      </c>
      <c r="C11086" s="3" t="s">
        <v>9292</v>
      </c>
      <c r="D11086" s="4" t="str">
        <f t="shared" si="1613"/>
        <v>12Go Link</v>
      </c>
      <c r="E11086" s="3" t="s">
        <v>3196</v>
      </c>
      <c r="K11086" s="5"/>
    </row>
    <row r="11087">
      <c r="A11087" s="3" t="s">
        <v>5932</v>
      </c>
      <c r="B11087" s="3" t="s">
        <v>5932</v>
      </c>
      <c r="C11087" s="3" t="s">
        <v>9292</v>
      </c>
      <c r="D11087" s="4" t="str">
        <f t="shared" si="1613"/>
        <v>12Go Link</v>
      </c>
      <c r="E11087" s="3" t="s">
        <v>3203</v>
      </c>
      <c r="K11087" s="5"/>
    </row>
    <row r="11088">
      <c r="A11088" s="3" t="s">
        <v>5932</v>
      </c>
      <c r="B11088" s="3" t="s">
        <v>5932</v>
      </c>
      <c r="C11088" s="3" t="s">
        <v>9293</v>
      </c>
      <c r="D11088" s="4" t="str">
        <f t="shared" ref="D11088:D11090" si="1614">HYPERLINK("https://12go.asia/en/travel/Nad-Al-Sheba-Hotel-Transfer/Dubai-Port", "12Go Link")</f>
        <v>12Go Link</v>
      </c>
      <c r="E11088" s="3" t="s">
        <v>3265</v>
      </c>
      <c r="K11088" s="5"/>
    </row>
    <row r="11089">
      <c r="A11089" s="3" t="s">
        <v>5932</v>
      </c>
      <c r="B11089" s="3" t="s">
        <v>5932</v>
      </c>
      <c r="C11089" s="3" t="s">
        <v>9293</v>
      </c>
      <c r="D11089" s="4" t="str">
        <f t="shared" si="1614"/>
        <v>12Go Link</v>
      </c>
      <c r="E11089" s="3" t="s">
        <v>3196</v>
      </c>
      <c r="K11089" s="5"/>
    </row>
    <row r="11090">
      <c r="A11090" s="3" t="s">
        <v>5932</v>
      </c>
      <c r="B11090" s="3" t="s">
        <v>5932</v>
      </c>
      <c r="C11090" s="3" t="s">
        <v>9293</v>
      </c>
      <c r="D11090" s="4" t="str">
        <f t="shared" si="1614"/>
        <v>12Go Link</v>
      </c>
      <c r="E11090" s="3" t="s">
        <v>3203</v>
      </c>
      <c r="K11090" s="5"/>
    </row>
    <row r="11091">
      <c r="A11091" s="3" t="s">
        <v>5932</v>
      </c>
      <c r="B11091" s="3" t="s">
        <v>5932</v>
      </c>
      <c r="C11091" s="3" t="s">
        <v>9294</v>
      </c>
      <c r="D11091" s="4" t="str">
        <f t="shared" ref="D11091:D11094" si="1615">HYPERLINK("https://12go.asia/en/travel/Sheikh-Zayed-Road/Dubai-International-Airport", "12Go Link")</f>
        <v>12Go Link</v>
      </c>
      <c r="E11091" s="3" t="s">
        <v>3265</v>
      </c>
      <c r="K11091" s="5"/>
    </row>
    <row r="11092">
      <c r="A11092" s="3" t="s">
        <v>5932</v>
      </c>
      <c r="B11092" s="3" t="s">
        <v>5932</v>
      </c>
      <c r="C11092" s="3" t="s">
        <v>9294</v>
      </c>
      <c r="D11092" s="4" t="str">
        <f t="shared" si="1615"/>
        <v>12Go Link</v>
      </c>
      <c r="E11092" s="3" t="s">
        <v>3196</v>
      </c>
      <c r="K11092" s="5"/>
    </row>
    <row r="11093">
      <c r="A11093" s="3" t="s">
        <v>5932</v>
      </c>
      <c r="B11093" s="3" t="s">
        <v>5932</v>
      </c>
      <c r="C11093" s="3" t="s">
        <v>9294</v>
      </c>
      <c r="D11093" s="4" t="str">
        <f t="shared" si="1615"/>
        <v>12Go Link</v>
      </c>
      <c r="E11093" s="3" t="s">
        <v>226</v>
      </c>
      <c r="K11093" s="5"/>
    </row>
    <row r="11094">
      <c r="A11094" s="3" t="s">
        <v>5932</v>
      </c>
      <c r="B11094" s="3" t="s">
        <v>5932</v>
      </c>
      <c r="C11094" s="3" t="s">
        <v>9294</v>
      </c>
      <c r="D11094" s="4" t="str">
        <f t="shared" si="1615"/>
        <v>12Go Link</v>
      </c>
      <c r="E11094" s="3" t="s">
        <v>3203</v>
      </c>
      <c r="K11094" s="5"/>
    </row>
    <row r="11095">
      <c r="A11095" s="3" t="s">
        <v>5932</v>
      </c>
      <c r="B11095" s="3" t="s">
        <v>5932</v>
      </c>
      <c r="C11095" s="3" t="s">
        <v>9295</v>
      </c>
      <c r="D11095" s="4" t="str">
        <f t="shared" ref="D11095:D11097" si="1616">HYPERLINK("https://12go.asia/en/travel/Sheikh-Zayed-Road/Dubai-Port", "12Go Link")</f>
        <v>12Go Link</v>
      </c>
      <c r="E11095" s="3" t="s">
        <v>3265</v>
      </c>
      <c r="K11095" s="5"/>
    </row>
    <row r="11096">
      <c r="A11096" s="3" t="s">
        <v>5932</v>
      </c>
      <c r="B11096" s="3" t="s">
        <v>5932</v>
      </c>
      <c r="C11096" s="3" t="s">
        <v>9295</v>
      </c>
      <c r="D11096" s="4" t="str">
        <f t="shared" si="1616"/>
        <v>12Go Link</v>
      </c>
      <c r="E11096" s="3" t="s">
        <v>3196</v>
      </c>
      <c r="K11096" s="5"/>
    </row>
    <row r="11097">
      <c r="A11097" s="3" t="s">
        <v>5932</v>
      </c>
      <c r="B11097" s="3" t="s">
        <v>5932</v>
      </c>
      <c r="C11097" s="3" t="s">
        <v>9295</v>
      </c>
      <c r="D11097" s="4" t="str">
        <f t="shared" si="1616"/>
        <v>12Go Link</v>
      </c>
      <c r="E11097" s="3" t="s">
        <v>3203</v>
      </c>
      <c r="K11097" s="5"/>
    </row>
    <row r="11098">
      <c r="A11098" s="3" t="s">
        <v>5932</v>
      </c>
      <c r="B11098" s="3" t="s">
        <v>5932</v>
      </c>
      <c r="C11098" s="3" t="s">
        <v>9296</v>
      </c>
      <c r="D11098" s="4" t="str">
        <f t="shared" ref="D11098:D11101" si="1617">HYPERLINK("https://12go.asia/en/travel/The-Palm-Jumeirah-Hotel-Transfer/Dubai-International-Airport", "12Go Link")</f>
        <v>12Go Link</v>
      </c>
      <c r="E11098" s="3" t="s">
        <v>3265</v>
      </c>
      <c r="K11098" s="5"/>
    </row>
    <row r="11099">
      <c r="A11099" s="3" t="s">
        <v>5932</v>
      </c>
      <c r="B11099" s="3" t="s">
        <v>5932</v>
      </c>
      <c r="C11099" s="3" t="s">
        <v>9296</v>
      </c>
      <c r="D11099" s="4" t="str">
        <f t="shared" si="1617"/>
        <v>12Go Link</v>
      </c>
      <c r="E11099" s="3" t="s">
        <v>3196</v>
      </c>
      <c r="K11099" s="5"/>
    </row>
    <row r="11100">
      <c r="A11100" s="3" t="s">
        <v>5932</v>
      </c>
      <c r="B11100" s="3" t="s">
        <v>5932</v>
      </c>
      <c r="C11100" s="3" t="s">
        <v>9296</v>
      </c>
      <c r="D11100" s="4" t="str">
        <f t="shared" si="1617"/>
        <v>12Go Link</v>
      </c>
      <c r="E11100" s="3" t="s">
        <v>226</v>
      </c>
      <c r="K11100" s="5"/>
    </row>
    <row r="11101">
      <c r="A11101" s="3" t="s">
        <v>5932</v>
      </c>
      <c r="B11101" s="3" t="s">
        <v>5932</v>
      </c>
      <c r="C11101" s="3" t="s">
        <v>9296</v>
      </c>
      <c r="D11101" s="4" t="str">
        <f t="shared" si="1617"/>
        <v>12Go Link</v>
      </c>
      <c r="E11101" s="3" t="s">
        <v>3203</v>
      </c>
      <c r="K11101" s="5"/>
    </row>
    <row r="11102">
      <c r="A11102" s="3" t="s">
        <v>5932</v>
      </c>
      <c r="B11102" s="3" t="s">
        <v>5932</v>
      </c>
      <c r="C11102" s="3" t="s">
        <v>9297</v>
      </c>
      <c r="D11102" s="4" t="str">
        <f t="shared" ref="D11102:D11104" si="1618">HYPERLINK("https://12go.asia/en/travel/The-Palm-Jumeirah-Hotel-Transfer/Dubai-Port", "12Go Link")</f>
        <v>12Go Link</v>
      </c>
      <c r="E11102" s="3" t="s">
        <v>3265</v>
      </c>
      <c r="K11102" s="5"/>
    </row>
    <row r="11103">
      <c r="A11103" s="3" t="s">
        <v>5932</v>
      </c>
      <c r="B11103" s="3" t="s">
        <v>5932</v>
      </c>
      <c r="C11103" s="3" t="s">
        <v>9297</v>
      </c>
      <c r="D11103" s="4" t="str">
        <f t="shared" si="1618"/>
        <v>12Go Link</v>
      </c>
      <c r="E11103" s="3" t="s">
        <v>3196</v>
      </c>
      <c r="K11103" s="5"/>
    </row>
    <row r="11104">
      <c r="A11104" s="3" t="s">
        <v>5932</v>
      </c>
      <c r="B11104" s="3" t="s">
        <v>5932</v>
      </c>
      <c r="C11104" s="3" t="s">
        <v>9297</v>
      </c>
      <c r="D11104" s="4" t="str">
        <f t="shared" si="1618"/>
        <v>12Go Link</v>
      </c>
      <c r="E11104" s="3" t="s">
        <v>3203</v>
      </c>
      <c r="K11104" s="5"/>
    </row>
    <row r="11105">
      <c r="A11105" s="3" t="s">
        <v>5932</v>
      </c>
      <c r="B11105" s="3" t="s">
        <v>9298</v>
      </c>
      <c r="C11105" s="3" t="s">
        <v>9299</v>
      </c>
      <c r="D11105" s="4" t="str">
        <f t="shared" ref="D11105:D11107" si="1619">HYPERLINK("https://12go.asia/en/travel/Dubai-Port/Al-Hamra-Village", "12Go Link")</f>
        <v>12Go Link</v>
      </c>
      <c r="E11105" s="3" t="s">
        <v>3265</v>
      </c>
      <c r="K11105" s="5"/>
    </row>
    <row r="11106">
      <c r="A11106" s="3" t="s">
        <v>5932</v>
      </c>
      <c r="B11106" s="3" t="s">
        <v>9298</v>
      </c>
      <c r="C11106" s="3" t="s">
        <v>9299</v>
      </c>
      <c r="D11106" s="4" t="str">
        <f t="shared" si="1619"/>
        <v>12Go Link</v>
      </c>
      <c r="E11106" s="3" t="s">
        <v>3196</v>
      </c>
      <c r="K11106" s="5"/>
    </row>
    <row r="11107">
      <c r="A11107" s="3" t="s">
        <v>5932</v>
      </c>
      <c r="B11107" s="3" t="s">
        <v>9298</v>
      </c>
      <c r="C11107" s="3" t="s">
        <v>9299</v>
      </c>
      <c r="D11107" s="4" t="str">
        <f t="shared" si="1619"/>
        <v>12Go Link</v>
      </c>
      <c r="E11107" s="3" t="s">
        <v>3203</v>
      </c>
      <c r="K11107" s="5"/>
    </row>
    <row r="11108">
      <c r="A11108" s="3" t="s">
        <v>5932</v>
      </c>
      <c r="B11108" s="3" t="s">
        <v>9298</v>
      </c>
      <c r="C11108" s="3" t="s">
        <v>9300</v>
      </c>
      <c r="D11108" s="4" t="str">
        <f t="shared" ref="D11108:D11110" si="1620">HYPERLINK("https://12go.asia/en/travel/Dubai-Port/Bab-Al-Bahr-Hotel-Transfer", "12Go Link")</f>
        <v>12Go Link</v>
      </c>
      <c r="E11108" s="3" t="s">
        <v>3265</v>
      </c>
      <c r="K11108" s="5"/>
    </row>
    <row r="11109">
      <c r="A11109" s="3" t="s">
        <v>5932</v>
      </c>
      <c r="B11109" s="3" t="s">
        <v>9298</v>
      </c>
      <c r="C11109" s="3" t="s">
        <v>9300</v>
      </c>
      <c r="D11109" s="4" t="str">
        <f t="shared" si="1620"/>
        <v>12Go Link</v>
      </c>
      <c r="E11109" s="3" t="s">
        <v>3196</v>
      </c>
      <c r="K11109" s="5"/>
    </row>
    <row r="11110">
      <c r="A11110" s="3" t="s">
        <v>5932</v>
      </c>
      <c r="B11110" s="3" t="s">
        <v>9298</v>
      </c>
      <c r="C11110" s="3" t="s">
        <v>9300</v>
      </c>
      <c r="D11110" s="4" t="str">
        <f t="shared" si="1620"/>
        <v>12Go Link</v>
      </c>
      <c r="E11110" s="3" t="s">
        <v>3203</v>
      </c>
      <c r="K11110" s="5"/>
    </row>
    <row r="11111">
      <c r="A11111" s="3" t="s">
        <v>5932</v>
      </c>
      <c r="B11111" s="3" t="s">
        <v>9301</v>
      </c>
      <c r="C11111" s="3" t="s">
        <v>9302</v>
      </c>
      <c r="D11111" s="4" t="str">
        <f t="shared" ref="D11111:D11113" si="1621">HYPERLINK("https://12go.asia/en/travel/Dubai-International-Airport/Sharjah-Hotel-Transfer", "12Go Link")</f>
        <v>12Go Link</v>
      </c>
      <c r="E11111" s="3" t="s">
        <v>3265</v>
      </c>
      <c r="K11111" s="5"/>
    </row>
    <row r="11112">
      <c r="A11112" s="3" t="s">
        <v>5932</v>
      </c>
      <c r="B11112" s="3" t="s">
        <v>9301</v>
      </c>
      <c r="C11112" s="3" t="s">
        <v>9302</v>
      </c>
      <c r="D11112" s="4" t="str">
        <f t="shared" si="1621"/>
        <v>12Go Link</v>
      </c>
      <c r="E11112" s="3" t="s">
        <v>3196</v>
      </c>
      <c r="K11112" s="5"/>
    </row>
    <row r="11113">
      <c r="A11113" s="3" t="s">
        <v>5932</v>
      </c>
      <c r="B11113" s="3" t="s">
        <v>9301</v>
      </c>
      <c r="C11113" s="3" t="s">
        <v>9302</v>
      </c>
      <c r="D11113" s="4" t="str">
        <f t="shared" si="1621"/>
        <v>12Go Link</v>
      </c>
      <c r="E11113" s="3" t="s">
        <v>3203</v>
      </c>
      <c r="K11113" s="5"/>
    </row>
    <row r="11114">
      <c r="A11114" s="3" t="s">
        <v>5932</v>
      </c>
      <c r="B11114" s="3" t="s">
        <v>9301</v>
      </c>
      <c r="C11114" s="3" t="s">
        <v>9303</v>
      </c>
      <c r="D11114" s="4" t="str">
        <f t="shared" ref="D11114:D11116" si="1622">HYPERLINK("https://12go.asia/en/travel/Dubai-Port/Sharjah-Airport", "12Go Link")</f>
        <v>12Go Link</v>
      </c>
      <c r="E11114" s="3" t="s">
        <v>3265</v>
      </c>
      <c r="K11114" s="5"/>
    </row>
    <row r="11115">
      <c r="A11115" s="3" t="s">
        <v>5932</v>
      </c>
      <c r="B11115" s="3" t="s">
        <v>9301</v>
      </c>
      <c r="C11115" s="3" t="s">
        <v>9303</v>
      </c>
      <c r="D11115" s="4" t="str">
        <f t="shared" si="1622"/>
        <v>12Go Link</v>
      </c>
      <c r="E11115" s="3" t="s">
        <v>3196</v>
      </c>
      <c r="K11115" s="5"/>
    </row>
    <row r="11116">
      <c r="A11116" s="3" t="s">
        <v>5932</v>
      </c>
      <c r="B11116" s="3" t="s">
        <v>9301</v>
      </c>
      <c r="C11116" s="3" t="s">
        <v>9303</v>
      </c>
      <c r="D11116" s="4" t="str">
        <f t="shared" si="1622"/>
        <v>12Go Link</v>
      </c>
      <c r="E11116" s="3" t="s">
        <v>3203</v>
      </c>
      <c r="K11116" s="5"/>
    </row>
    <row r="11117">
      <c r="A11117" s="3" t="s">
        <v>5932</v>
      </c>
      <c r="B11117" s="3" t="s">
        <v>9301</v>
      </c>
      <c r="C11117" s="3" t="s">
        <v>9304</v>
      </c>
      <c r="D11117" s="4" t="str">
        <f t="shared" ref="D11117:D11119" si="1623">HYPERLINK("https://12go.asia/en/travel/Dubai-Port/Sharjah-Hotel-Transfer", "12Go Link")</f>
        <v>12Go Link</v>
      </c>
      <c r="E11117" s="3" t="s">
        <v>3265</v>
      </c>
      <c r="K11117" s="5"/>
    </row>
    <row r="11118">
      <c r="A11118" s="3" t="s">
        <v>5932</v>
      </c>
      <c r="B11118" s="3" t="s">
        <v>9301</v>
      </c>
      <c r="C11118" s="3" t="s">
        <v>9304</v>
      </c>
      <c r="D11118" s="4" t="str">
        <f t="shared" si="1623"/>
        <v>12Go Link</v>
      </c>
      <c r="E11118" s="3" t="s">
        <v>3196</v>
      </c>
      <c r="K11118" s="5"/>
    </row>
    <row r="11119">
      <c r="A11119" s="3" t="s">
        <v>5932</v>
      </c>
      <c r="B11119" s="3" t="s">
        <v>9301</v>
      </c>
      <c r="C11119" s="3" t="s">
        <v>9304</v>
      </c>
      <c r="D11119" s="4" t="str">
        <f t="shared" si="1623"/>
        <v>12Go Link</v>
      </c>
      <c r="E11119" s="3" t="s">
        <v>3203</v>
      </c>
      <c r="K11119" s="5"/>
    </row>
    <row r="11120">
      <c r="A11120" s="3" t="s">
        <v>5932</v>
      </c>
      <c r="B11120" s="3" t="s">
        <v>9305</v>
      </c>
      <c r="C11120" s="3" t="s">
        <v>9306</v>
      </c>
      <c r="D11120" s="4" t="str">
        <f t="shared" ref="D11120:D11122" si="1624">HYPERLINK("https://12go.asia/en/travel/Dubai-Port/Umm-Al-Quwain-Hotel-Transfer", "12Go Link")</f>
        <v>12Go Link</v>
      </c>
      <c r="E11120" s="3" t="s">
        <v>3265</v>
      </c>
      <c r="K11120" s="5"/>
    </row>
    <row r="11121">
      <c r="A11121" s="3" t="s">
        <v>5932</v>
      </c>
      <c r="B11121" s="3" t="s">
        <v>9305</v>
      </c>
      <c r="C11121" s="3" t="s">
        <v>9306</v>
      </c>
      <c r="D11121" s="4" t="str">
        <f t="shared" si="1624"/>
        <v>12Go Link</v>
      </c>
      <c r="E11121" s="3" t="s">
        <v>3196</v>
      </c>
      <c r="K11121" s="5"/>
    </row>
    <row r="11122">
      <c r="A11122" s="3" t="s">
        <v>5932</v>
      </c>
      <c r="B11122" s="3" t="s">
        <v>9305</v>
      </c>
      <c r="C11122" s="3" t="s">
        <v>9306</v>
      </c>
      <c r="D11122" s="4" t="str">
        <f t="shared" si="1624"/>
        <v>12Go Link</v>
      </c>
      <c r="E11122" s="3" t="s">
        <v>3203</v>
      </c>
      <c r="K11122" s="5"/>
    </row>
    <row r="11123">
      <c r="A11123" s="3" t="s">
        <v>5934</v>
      </c>
      <c r="B11123" s="3" t="s">
        <v>9307</v>
      </c>
      <c r="C11123" s="3" t="s">
        <v>9308</v>
      </c>
      <c r="D11123" s="4" t="str">
        <f>HYPERLINK("https://12go.asia/en/travel/dubai-airport/hamala", "12Go Link")</f>
        <v>12Go Link</v>
      </c>
      <c r="E11123" s="3" t="s">
        <v>3568</v>
      </c>
      <c r="K11123" s="5"/>
    </row>
    <row r="11124">
      <c r="A11124" s="3" t="s">
        <v>5934</v>
      </c>
      <c r="B11124" s="3" t="s">
        <v>9309</v>
      </c>
      <c r="C11124" s="3" t="s">
        <v>9310</v>
      </c>
      <c r="D11124" s="4" t="str">
        <f>HYPERLINK("https://12go.asia/en/travel/dubai-airport/isa-town", "12Go Link")</f>
        <v>12Go Link</v>
      </c>
      <c r="E11124" s="3" t="s">
        <v>3568</v>
      </c>
      <c r="K11124" s="5"/>
    </row>
    <row r="11125">
      <c r="A11125" s="3" t="s">
        <v>5934</v>
      </c>
      <c r="B11125" s="3" t="s">
        <v>9311</v>
      </c>
      <c r="C11125" s="3" t="s">
        <v>9312</v>
      </c>
      <c r="D11125" s="4" t="str">
        <f>HYPERLINK("https://12go.asia/en/travel/dubai-airport/manama", "12Go Link")</f>
        <v>12Go Link</v>
      </c>
      <c r="E11125" s="3" t="s">
        <v>3568</v>
      </c>
      <c r="K11125" s="5"/>
    </row>
    <row r="11126">
      <c r="A11126" s="3" t="s">
        <v>5934</v>
      </c>
      <c r="B11126" s="3" t="s">
        <v>9313</v>
      </c>
      <c r="C11126" s="3" t="s">
        <v>9314</v>
      </c>
      <c r="D11126" s="4" t="str">
        <f>HYPERLINK("https://12go.asia/en/travel/dubai-airport/muharraq", "12Go Link")</f>
        <v>12Go Link</v>
      </c>
      <c r="E11126" s="3" t="s">
        <v>3568</v>
      </c>
      <c r="K11126" s="5"/>
    </row>
    <row r="11127">
      <c r="A11127" s="3" t="s">
        <v>5934</v>
      </c>
      <c r="B11127" s="3" t="s">
        <v>9315</v>
      </c>
      <c r="C11127" s="3" t="s">
        <v>9316</v>
      </c>
      <c r="D11127" s="4" t="str">
        <f>HYPERLINK("https://12go.asia/en/travel/dubai-airport/riffa", "12Go Link")</f>
        <v>12Go Link</v>
      </c>
      <c r="E11127" s="3" t="s">
        <v>3568</v>
      </c>
      <c r="K11127" s="5"/>
    </row>
    <row r="11128">
      <c r="A11128" s="3" t="s">
        <v>5934</v>
      </c>
      <c r="B11128" s="3" t="s">
        <v>9317</v>
      </c>
      <c r="C11128" s="3" t="s">
        <v>9318</v>
      </c>
      <c r="D11128" s="4" t="str">
        <f>HYPERLINK("https://12go.asia/en/travel/dubai-airport/saar", "12Go Link")</f>
        <v>12Go Link</v>
      </c>
      <c r="E11128" s="3" t="s">
        <v>3568</v>
      </c>
      <c r="K11128" s="5"/>
    </row>
    <row r="11129">
      <c r="A11129" s="3" t="s">
        <v>5934</v>
      </c>
      <c r="B11129" s="3" t="s">
        <v>9319</v>
      </c>
      <c r="C11129" s="3" t="s">
        <v>9320</v>
      </c>
      <c r="D11129" s="4" t="str">
        <f>HYPERLINK("https://12go.asia/en/travel/dubai-airport/sitra", "12Go Link")</f>
        <v>12Go Link</v>
      </c>
      <c r="E11129" s="3" t="s">
        <v>3568</v>
      </c>
      <c r="K11129" s="5"/>
    </row>
    <row r="11130">
      <c r="A11130" s="3" t="s">
        <v>5934</v>
      </c>
      <c r="B11130" s="3" t="s">
        <v>9321</v>
      </c>
      <c r="C11130" s="3" t="s">
        <v>9322</v>
      </c>
      <c r="D11130" s="4" t="str">
        <f>HYPERLINK("https://12go.asia/en/travel/dubai-airport/tubli", "12Go Link")</f>
        <v>12Go Link</v>
      </c>
      <c r="E11130" s="3" t="s">
        <v>3568</v>
      </c>
      <c r="K11130" s="5"/>
    </row>
    <row r="11131">
      <c r="A11131" s="3" t="s">
        <v>5934</v>
      </c>
      <c r="B11131" s="3" t="s">
        <v>9323</v>
      </c>
      <c r="C11131" s="3" t="s">
        <v>9324</v>
      </c>
      <c r="D11131" s="4" t="str">
        <f>HYPERLINK("https://12go.asia/en/travel/dubai-airport/um-al-naasan", "12Go Link")</f>
        <v>12Go Link</v>
      </c>
      <c r="E11131" s="3" t="s">
        <v>3568</v>
      </c>
      <c r="K11131" s="5"/>
    </row>
    <row r="11132">
      <c r="A11132" s="3" t="s">
        <v>5934</v>
      </c>
      <c r="B11132" s="3" t="s">
        <v>9325</v>
      </c>
      <c r="C11132" s="3" t="s">
        <v>9326</v>
      </c>
      <c r="D11132" s="4" t="str">
        <f>HYPERLINK("https://12go.asia/en/travel/dubai-airport/zallaq", "12Go Link")</f>
        <v>12Go Link</v>
      </c>
      <c r="E11132" s="3" t="s">
        <v>3568</v>
      </c>
      <c r="K11132" s="5"/>
    </row>
    <row r="11133">
      <c r="A11133" s="3" t="s">
        <v>5934</v>
      </c>
      <c r="B11133" s="3" t="s">
        <v>9327</v>
      </c>
      <c r="C11133" s="3" t="s">
        <v>9328</v>
      </c>
      <c r="D11133" s="4" t="str">
        <f>HYPERLINK("https://12go.asia/en/travel/dubai-airport/sisak", "12Go Link")</f>
        <v>12Go Link</v>
      </c>
      <c r="E11133" s="3" t="s">
        <v>3568</v>
      </c>
      <c r="K11133" s="5"/>
    </row>
    <row r="11134">
      <c r="A11134" s="3" t="s">
        <v>5934</v>
      </c>
      <c r="B11134" s="3" t="s">
        <v>9329</v>
      </c>
      <c r="C11134" s="3" t="s">
        <v>9330</v>
      </c>
      <c r="D11134" s="4" t="str">
        <f>HYPERLINK("https://12go.asia/en/travel/dubai-airport/velika-gorica", "12Go Link")</f>
        <v>12Go Link</v>
      </c>
      <c r="E11134" s="3" t="s">
        <v>3568</v>
      </c>
      <c r="K11134" s="5"/>
    </row>
    <row r="11135">
      <c r="A11135" s="3" t="s">
        <v>5934</v>
      </c>
      <c r="B11135" s="3" t="s">
        <v>9331</v>
      </c>
      <c r="C11135" s="3" t="s">
        <v>9332</v>
      </c>
      <c r="D11135" s="4" t="str">
        <f>HYPERLINK("https://12go.asia/en/travel/dubai-airport/zagreb", "12Go Link")</f>
        <v>12Go Link</v>
      </c>
      <c r="E11135" s="3" t="s">
        <v>3568</v>
      </c>
      <c r="K11135" s="5"/>
    </row>
    <row r="11136">
      <c r="A11136" s="3" t="s">
        <v>5934</v>
      </c>
      <c r="B11136" s="3" t="s">
        <v>9333</v>
      </c>
      <c r="C11136" s="3" t="s">
        <v>9334</v>
      </c>
      <c r="D11136" s="4" t="str">
        <f>HYPERLINK("https://12go.asia/en/travel/dubai-airport/zagreb-county", "12Go Link")</f>
        <v>12Go Link</v>
      </c>
      <c r="E11136" s="3" t="s">
        <v>3568</v>
      </c>
      <c r="K11136" s="5"/>
    </row>
    <row r="11137">
      <c r="A11137" s="3" t="s">
        <v>5934</v>
      </c>
      <c r="B11137" s="3" t="s">
        <v>9335</v>
      </c>
      <c r="C11137" s="3" t="s">
        <v>9336</v>
      </c>
      <c r="D11137" s="4" t="str">
        <f>HYPERLINK("https://12go.asia/en/travel/dubai-airport/tehran", "12Go Link")</f>
        <v>12Go Link</v>
      </c>
      <c r="E11137" s="3" t="s">
        <v>3568</v>
      </c>
      <c r="K11137" s="5"/>
    </row>
    <row r="11138">
      <c r="A11138" s="3" t="s">
        <v>5934</v>
      </c>
      <c r="B11138" s="3" t="s">
        <v>9337</v>
      </c>
      <c r="C11138" s="3" t="s">
        <v>9338</v>
      </c>
      <c r="D11138" s="4" t="str">
        <f>HYPERLINK("https://12go.asia/en/travel/dubai-airport/bergamo", "12Go Link")</f>
        <v>12Go Link</v>
      </c>
      <c r="E11138" s="3" t="s">
        <v>3568</v>
      </c>
      <c r="K11138" s="5"/>
    </row>
    <row r="11139">
      <c r="A11139" s="3" t="s">
        <v>5934</v>
      </c>
      <c r="B11139" s="3" t="s">
        <v>9339</v>
      </c>
      <c r="C11139" s="3" t="s">
        <v>9340</v>
      </c>
      <c r="D11139" s="4" t="str">
        <f>HYPERLINK("https://12go.asia/en/travel/dubai-airport/milan-airport", "12Go Link")</f>
        <v>12Go Link</v>
      </c>
      <c r="E11139" s="3" t="s">
        <v>3568</v>
      </c>
      <c r="K11139" s="5"/>
    </row>
    <row r="11140">
      <c r="A11140" s="3" t="s">
        <v>5934</v>
      </c>
      <c r="B11140" s="3" t="s">
        <v>9341</v>
      </c>
      <c r="C11140" s="3" t="s">
        <v>9342</v>
      </c>
      <c r="D11140" s="4" t="str">
        <f>HYPERLINK("https://12go.asia/en/travel/dubai-airport/al-ahmadi", "12Go Link")</f>
        <v>12Go Link</v>
      </c>
      <c r="E11140" s="3" t="s">
        <v>3568</v>
      </c>
      <c r="K11140" s="5"/>
    </row>
    <row r="11141">
      <c r="A11141" s="3" t="s">
        <v>5934</v>
      </c>
      <c r="B11141" s="3" t="s">
        <v>9343</v>
      </c>
      <c r="C11141" s="3" t="s">
        <v>9344</v>
      </c>
      <c r="D11141" s="4" t="str">
        <f>HYPERLINK("https://12go.asia/en/travel/dubai-airport/al-jahra", "12Go Link")</f>
        <v>12Go Link</v>
      </c>
      <c r="E11141" s="3" t="s">
        <v>3568</v>
      </c>
      <c r="K11141" s="5"/>
    </row>
    <row r="11142">
      <c r="A11142" s="3" t="s">
        <v>5934</v>
      </c>
      <c r="B11142" s="3" t="s">
        <v>9345</v>
      </c>
      <c r="C11142" s="3" t="s">
        <v>9346</v>
      </c>
      <c r="D11142" s="4" t="str">
        <f>HYPERLINK("https://12go.asia/en/travel/dubai-airport/hawalli", "12Go Link")</f>
        <v>12Go Link</v>
      </c>
      <c r="E11142" s="3" t="s">
        <v>3568</v>
      </c>
      <c r="K11142" s="5"/>
    </row>
    <row r="11143">
      <c r="A11143" s="3" t="s">
        <v>5934</v>
      </c>
      <c r="B11143" s="3" t="s">
        <v>9347</v>
      </c>
      <c r="C11143" s="3" t="s">
        <v>9348</v>
      </c>
      <c r="D11143" s="4" t="str">
        <f>HYPERLINK("https://12go.asia/en/travel/dubai-airport/kuwait", "12Go Link")</f>
        <v>12Go Link</v>
      </c>
      <c r="E11143" s="3" t="s">
        <v>3568</v>
      </c>
      <c r="K11143" s="5"/>
    </row>
    <row r="11144">
      <c r="A11144" s="3" t="s">
        <v>5934</v>
      </c>
      <c r="B11144" s="3" t="s">
        <v>9349</v>
      </c>
      <c r="C11144" s="3" t="s">
        <v>9350</v>
      </c>
      <c r="D11144" s="4" t="str">
        <f>HYPERLINK("https://12go.asia/en/travel/dubai-airport/lahore", "12Go Link")</f>
        <v>12Go Link</v>
      </c>
      <c r="E11144" s="3" t="s">
        <v>3568</v>
      </c>
      <c r="K11144" s="5"/>
    </row>
    <row r="11145">
      <c r="A11145" s="3" t="s">
        <v>5934</v>
      </c>
      <c r="B11145" s="3" t="s">
        <v>9351</v>
      </c>
      <c r="C11145" s="3" t="s">
        <v>9352</v>
      </c>
      <c r="D11145" s="4" t="str">
        <f>HYPERLINK("https://12go.asia/en/travel/dubai-airport/uqair", "12Go Link")</f>
        <v>12Go Link</v>
      </c>
      <c r="E11145" s="3" t="s">
        <v>3568</v>
      </c>
      <c r="K11145" s="5"/>
    </row>
    <row r="11146">
      <c r="A11146" s="3" t="s">
        <v>5934</v>
      </c>
      <c r="B11146" s="3" t="s">
        <v>8032</v>
      </c>
      <c r="C11146" s="3" t="s">
        <v>9353</v>
      </c>
      <c r="D11146" s="4" t="str">
        <f>HYPERLINK("https://12go.asia/en/travel/dubai-airport/ban-phe-pier", "12Go Link")</f>
        <v>12Go Link</v>
      </c>
      <c r="E11146" s="3" t="s">
        <v>3568</v>
      </c>
      <c r="K11146" s="5"/>
    </row>
    <row r="11147">
      <c r="A11147" s="3" t="s">
        <v>5934</v>
      </c>
      <c r="B11147" s="3" t="s">
        <v>9354</v>
      </c>
      <c r="C11147" s="3" t="s">
        <v>9355</v>
      </c>
      <c r="D11147" s="4" t="str">
        <f>HYPERLINK("https://12go.asia/en/travel/dubai-airport/koh-samet", "12Go Link")</f>
        <v>12Go Link</v>
      </c>
      <c r="E11147" s="3" t="s">
        <v>3568</v>
      </c>
      <c r="K11147" s="5"/>
    </row>
    <row r="11148">
      <c r="A11148" s="3" t="s">
        <v>5934</v>
      </c>
      <c r="B11148" s="3" t="s">
        <v>358</v>
      </c>
      <c r="C11148" s="3" t="s">
        <v>9356</v>
      </c>
      <c r="D11148" s="4" t="str">
        <f>HYPERLINK("https://12go.asia/en/travel/dubai-airport/pattaya", "12Go Link")</f>
        <v>12Go Link</v>
      </c>
      <c r="E11148" s="3" t="s">
        <v>3568</v>
      </c>
      <c r="K11148" s="5"/>
    </row>
    <row r="11149">
      <c r="A11149" s="3" t="s">
        <v>5934</v>
      </c>
      <c r="B11149" s="3" t="s">
        <v>9357</v>
      </c>
      <c r="C11149" s="3" t="s">
        <v>9358</v>
      </c>
      <c r="D11149" s="4" t="str">
        <f>HYPERLINK("https://12go.asia/en/travel/dubai-airport/railay", "12Go Link")</f>
        <v>12Go Link</v>
      </c>
      <c r="E11149" s="3" t="s">
        <v>3568</v>
      </c>
      <c r="K11149" s="5"/>
    </row>
    <row r="11150">
      <c r="A11150" s="3" t="s">
        <v>5934</v>
      </c>
      <c r="B11150" s="3" t="s">
        <v>8090</v>
      </c>
      <c r="C11150" s="3" t="s">
        <v>9359</v>
      </c>
      <c r="D11150" s="4" t="str">
        <f>HYPERLINK("https://12go.asia/en/travel/dubai-airport/rayong", "12Go Link")</f>
        <v>12Go Link</v>
      </c>
      <c r="E11150" s="3" t="s">
        <v>3568</v>
      </c>
      <c r="K11150" s="5"/>
    </row>
    <row r="11151">
      <c r="A11151" s="3" t="s">
        <v>5934</v>
      </c>
      <c r="B11151" s="3" t="s">
        <v>8463</v>
      </c>
      <c r="C11151" s="3" t="s">
        <v>9360</v>
      </c>
      <c r="D11151" s="4" t="str">
        <f>HYPERLINK("https://12go.asia/en/travel/dubai-airport/sattahip", "12Go Link")</f>
        <v>12Go Link</v>
      </c>
      <c r="E11151" s="3" t="s">
        <v>3568</v>
      </c>
      <c r="K11151" s="5"/>
    </row>
    <row r="11152">
      <c r="A11152" s="3" t="s">
        <v>9298</v>
      </c>
      <c r="B11152" s="3" t="s">
        <v>5932</v>
      </c>
      <c r="C11152" s="3" t="s">
        <v>9361</v>
      </c>
      <c r="D11152" s="4" t="str">
        <f t="shared" ref="D11152:D11154" si="1625">HYPERLINK("https://12go.asia/en/travel/Al-Hamra-Village/Dubai-Port", "12Go Link")</f>
        <v>12Go Link</v>
      </c>
      <c r="E11152" s="3" t="s">
        <v>3265</v>
      </c>
      <c r="K11152" s="5"/>
    </row>
    <row r="11153">
      <c r="A11153" s="3" t="s">
        <v>9298</v>
      </c>
      <c r="B11153" s="3" t="s">
        <v>5932</v>
      </c>
      <c r="C11153" s="3" t="s">
        <v>9361</v>
      </c>
      <c r="D11153" s="4" t="str">
        <f t="shared" si="1625"/>
        <v>12Go Link</v>
      </c>
      <c r="E11153" s="3" t="s">
        <v>3196</v>
      </c>
      <c r="K11153" s="5"/>
    </row>
    <row r="11154">
      <c r="A11154" s="3" t="s">
        <v>9298</v>
      </c>
      <c r="B11154" s="3" t="s">
        <v>5932</v>
      </c>
      <c r="C11154" s="3" t="s">
        <v>9361</v>
      </c>
      <c r="D11154" s="4" t="str">
        <f t="shared" si="1625"/>
        <v>12Go Link</v>
      </c>
      <c r="E11154" s="3" t="s">
        <v>3203</v>
      </c>
      <c r="K11154" s="5"/>
    </row>
    <row r="11155">
      <c r="A11155" s="3" t="s">
        <v>9298</v>
      </c>
      <c r="B11155" s="3" t="s">
        <v>5932</v>
      </c>
      <c r="C11155" s="3" t="s">
        <v>9362</v>
      </c>
      <c r="D11155" s="4" t="str">
        <f t="shared" ref="D11155:D11157" si="1626">HYPERLINK("https://12go.asia/en/travel/Bab-Al-Bahr-Hotel-Transfer/Dubai-Port", "12Go Link")</f>
        <v>12Go Link</v>
      </c>
      <c r="E11155" s="3" t="s">
        <v>3265</v>
      </c>
      <c r="K11155" s="5"/>
    </row>
    <row r="11156">
      <c r="A11156" s="3" t="s">
        <v>9298</v>
      </c>
      <c r="B11156" s="3" t="s">
        <v>5932</v>
      </c>
      <c r="C11156" s="3" t="s">
        <v>9362</v>
      </c>
      <c r="D11156" s="4" t="str">
        <f t="shared" si="1626"/>
        <v>12Go Link</v>
      </c>
      <c r="E11156" s="3" t="s">
        <v>3196</v>
      </c>
      <c r="K11156" s="5"/>
    </row>
    <row r="11157">
      <c r="A11157" s="3" t="s">
        <v>9298</v>
      </c>
      <c r="B11157" s="3" t="s">
        <v>5932</v>
      </c>
      <c r="C11157" s="3" t="s">
        <v>9362</v>
      </c>
      <c r="D11157" s="4" t="str">
        <f t="shared" si="1626"/>
        <v>12Go Link</v>
      </c>
      <c r="E11157" s="3" t="s">
        <v>3203</v>
      </c>
      <c r="K11157" s="5"/>
    </row>
    <row r="11158">
      <c r="A11158" s="3" t="s">
        <v>9301</v>
      </c>
      <c r="B11158" s="3" t="s">
        <v>5932</v>
      </c>
      <c r="C11158" s="3" t="s">
        <v>9363</v>
      </c>
      <c r="D11158" s="4" t="str">
        <f t="shared" ref="D11158:D11160" si="1627">HYPERLINK("https://12go.asia/en/travel/Sharjah-Airport/Dubai-Port", "12Go Link")</f>
        <v>12Go Link</v>
      </c>
      <c r="E11158" s="3" t="s">
        <v>3265</v>
      </c>
      <c r="K11158" s="5"/>
    </row>
    <row r="11159">
      <c r="A11159" s="3" t="s">
        <v>9301</v>
      </c>
      <c r="B11159" s="3" t="s">
        <v>5932</v>
      </c>
      <c r="C11159" s="3" t="s">
        <v>9363</v>
      </c>
      <c r="D11159" s="4" t="str">
        <f t="shared" si="1627"/>
        <v>12Go Link</v>
      </c>
      <c r="E11159" s="3" t="s">
        <v>3196</v>
      </c>
      <c r="K11159" s="5"/>
    </row>
    <row r="11160">
      <c r="A11160" s="3" t="s">
        <v>9301</v>
      </c>
      <c r="B11160" s="3" t="s">
        <v>5932</v>
      </c>
      <c r="C11160" s="3" t="s">
        <v>9363</v>
      </c>
      <c r="D11160" s="4" t="str">
        <f t="shared" si="1627"/>
        <v>12Go Link</v>
      </c>
      <c r="E11160" s="3" t="s">
        <v>3203</v>
      </c>
      <c r="K11160" s="5"/>
    </row>
    <row r="11161">
      <c r="A11161" s="3" t="s">
        <v>9301</v>
      </c>
      <c r="B11161" s="3" t="s">
        <v>5932</v>
      </c>
      <c r="C11161" s="3" t="s">
        <v>9364</v>
      </c>
      <c r="D11161" s="4" t="str">
        <f t="shared" ref="D11161:D11163" si="1628">HYPERLINK("https://12go.asia/en/travel/Sharjah-Hotel-Transfer/Dubai-International-Airport", "12Go Link")</f>
        <v>12Go Link</v>
      </c>
      <c r="E11161" s="3" t="s">
        <v>3265</v>
      </c>
      <c r="K11161" s="5"/>
    </row>
    <row r="11162">
      <c r="A11162" s="3" t="s">
        <v>9301</v>
      </c>
      <c r="B11162" s="3" t="s">
        <v>5932</v>
      </c>
      <c r="C11162" s="3" t="s">
        <v>9364</v>
      </c>
      <c r="D11162" s="4" t="str">
        <f t="shared" si="1628"/>
        <v>12Go Link</v>
      </c>
      <c r="E11162" s="3" t="s">
        <v>3196</v>
      </c>
      <c r="K11162" s="5"/>
    </row>
    <row r="11163">
      <c r="A11163" s="3" t="s">
        <v>9301</v>
      </c>
      <c r="B11163" s="3" t="s">
        <v>5932</v>
      </c>
      <c r="C11163" s="3" t="s">
        <v>9364</v>
      </c>
      <c r="D11163" s="4" t="str">
        <f t="shared" si="1628"/>
        <v>12Go Link</v>
      </c>
      <c r="E11163" s="3" t="s">
        <v>3203</v>
      </c>
      <c r="K11163" s="5"/>
    </row>
    <row r="11164">
      <c r="A11164" s="3" t="s">
        <v>9301</v>
      </c>
      <c r="B11164" s="3" t="s">
        <v>5932</v>
      </c>
      <c r="C11164" s="3" t="s">
        <v>9365</v>
      </c>
      <c r="D11164" s="4" t="str">
        <f t="shared" ref="D11164:D11166" si="1629">HYPERLINK("https://12go.asia/en/travel/Sharjah-Hotel-Transfer/Dubai-Port", "12Go Link")</f>
        <v>12Go Link</v>
      </c>
      <c r="E11164" s="3" t="s">
        <v>3265</v>
      </c>
      <c r="K11164" s="5"/>
    </row>
    <row r="11165">
      <c r="A11165" s="3" t="s">
        <v>9301</v>
      </c>
      <c r="B11165" s="3" t="s">
        <v>5932</v>
      </c>
      <c r="C11165" s="3" t="s">
        <v>9365</v>
      </c>
      <c r="D11165" s="4" t="str">
        <f t="shared" si="1629"/>
        <v>12Go Link</v>
      </c>
      <c r="E11165" s="3" t="s">
        <v>3196</v>
      </c>
      <c r="K11165" s="5"/>
    </row>
    <row r="11166">
      <c r="A11166" s="3" t="s">
        <v>9301</v>
      </c>
      <c r="B11166" s="3" t="s">
        <v>5932</v>
      </c>
      <c r="C11166" s="3" t="s">
        <v>9365</v>
      </c>
      <c r="D11166" s="4" t="str">
        <f t="shared" si="1629"/>
        <v>12Go Link</v>
      </c>
      <c r="E11166" s="3" t="s">
        <v>3203</v>
      </c>
      <c r="K11166" s="5"/>
    </row>
    <row r="11167">
      <c r="A11167" s="3" t="s">
        <v>9305</v>
      </c>
      <c r="B11167" s="3" t="s">
        <v>5932</v>
      </c>
      <c r="C11167" s="3" t="s">
        <v>9366</v>
      </c>
      <c r="D11167" s="4" t="str">
        <f t="shared" ref="D11167:D11169" si="1630">HYPERLINK("https://12go.asia/en/travel/Umm-Al-Quwain-Hotel-Transfer/Dubai-Port", "12Go Link")</f>
        <v>12Go Link</v>
      </c>
      <c r="E11167" s="3" t="s">
        <v>3265</v>
      </c>
      <c r="K11167" s="5"/>
    </row>
    <row r="11168">
      <c r="A11168" s="3" t="s">
        <v>9305</v>
      </c>
      <c r="B11168" s="3" t="s">
        <v>5932</v>
      </c>
      <c r="C11168" s="3" t="s">
        <v>9366</v>
      </c>
      <c r="D11168" s="4" t="str">
        <f t="shared" si="1630"/>
        <v>12Go Link</v>
      </c>
      <c r="E11168" s="3" t="s">
        <v>3196</v>
      </c>
      <c r="K11168" s="5"/>
    </row>
    <row r="11169">
      <c r="A11169" s="3" t="s">
        <v>9305</v>
      </c>
      <c r="B11169" s="3" t="s">
        <v>5932</v>
      </c>
      <c r="C11169" s="3" t="s">
        <v>9366</v>
      </c>
      <c r="D11169" s="4" t="str">
        <f t="shared" si="1630"/>
        <v>12Go Link</v>
      </c>
      <c r="E11169" s="3" t="s">
        <v>3203</v>
      </c>
      <c r="K11169" s="5"/>
    </row>
    <row r="11170">
      <c r="A11170" s="3" t="s">
        <v>9367</v>
      </c>
      <c r="B11170" s="3" t="s">
        <v>451</v>
      </c>
      <c r="C11170" s="3" t="s">
        <v>9368</v>
      </c>
      <c r="D11170" s="4" t="str">
        <f>HYPERLINK("https://12go.asia/en/travel/detroit/brantford", "12Go Link")</f>
        <v>12Go Link</v>
      </c>
      <c r="E11170" s="3" t="s">
        <v>94</v>
      </c>
      <c r="K11170" s="5"/>
    </row>
    <row r="11171">
      <c r="A11171" s="3" t="s">
        <v>442</v>
      </c>
      <c r="B11171" s="3" t="s">
        <v>507</v>
      </c>
      <c r="C11171" s="3" t="s">
        <v>9369</v>
      </c>
      <c r="D11171" s="4" t="str">
        <f>HYPERLINK("https://12go.asia/en/travel/wainwright/hinton", "12Go Link")</f>
        <v>12Go Link</v>
      </c>
      <c r="E11171" s="3" t="s">
        <v>94</v>
      </c>
      <c r="K11171" s="5"/>
    </row>
    <row r="11172">
      <c r="A11172" s="3" t="s">
        <v>442</v>
      </c>
      <c r="B11172" s="3" t="s">
        <v>386</v>
      </c>
      <c r="C11172" s="3" t="s">
        <v>9370</v>
      </c>
      <c r="D11172" s="4" t="str">
        <f>HYPERLINK("https://12go.asia/en/travel/wainwright/winnipeg", "12Go Link")</f>
        <v>12Go Link</v>
      </c>
      <c r="E11172" s="3" t="s">
        <v>94</v>
      </c>
      <c r="K11172" s="5"/>
    </row>
    <row r="11173">
      <c r="A11173" s="3" t="s">
        <v>9371</v>
      </c>
      <c r="B11173" s="3" t="s">
        <v>9372</v>
      </c>
      <c r="C11173" s="3" t="s">
        <v>9373</v>
      </c>
      <c r="D11173" s="4" t="str">
        <f>HYPERLINK("https://12go.asia/en/travel/Ben-Cat/190-Xo-Viet-Nghe-Tinh", "12Go Link")</f>
        <v>12Go Link</v>
      </c>
      <c r="E11173" s="3" t="s">
        <v>9374</v>
      </c>
      <c r="K11173" s="5"/>
    </row>
    <row r="11174">
      <c r="A11174" s="3" t="s">
        <v>9371</v>
      </c>
      <c r="B11174" s="3" t="s">
        <v>9372</v>
      </c>
      <c r="C11174" s="3" t="s">
        <v>9375</v>
      </c>
      <c r="D11174" s="4" t="str">
        <f>HYPERLINK("https://12go.asia/en/travel/Ben-Cat/28-Tran-Hung-Dao", "12Go Link")</f>
        <v>12Go Link</v>
      </c>
      <c r="E11174" s="3" t="s">
        <v>9374</v>
      </c>
      <c r="K11174" s="5"/>
    </row>
    <row r="11175">
      <c r="A11175" s="3" t="s">
        <v>9371</v>
      </c>
      <c r="B11175" s="3" t="s">
        <v>9372</v>
      </c>
      <c r="C11175" s="3" t="s">
        <v>9376</v>
      </c>
      <c r="D11175" s="4" t="str">
        <f>HYPERLINK("https://12go.asia/en/travel/Ben-Cat/Da-Lat-Bus-Station", "12Go Link")</f>
        <v>12Go Link</v>
      </c>
      <c r="E11175" s="3" t="s">
        <v>9374</v>
      </c>
      <c r="K11175" s="5"/>
    </row>
    <row r="11176">
      <c r="A11176" s="3" t="s">
        <v>9371</v>
      </c>
      <c r="B11176" s="3" t="s">
        <v>9372</v>
      </c>
      <c r="C11176" s="3" t="s">
        <v>9377</v>
      </c>
      <c r="D11176" s="4" t="str">
        <f>HYPERLINK("https://12go.asia/en/travel/Ben-Cat/Dalat-Railway-Station", "12Go Link")</f>
        <v>12Go Link</v>
      </c>
      <c r="E11176" s="3" t="s">
        <v>9374</v>
      </c>
      <c r="K11176" s="5"/>
    </row>
    <row r="11177">
      <c r="A11177" s="3" t="s">
        <v>9371</v>
      </c>
      <c r="B11177" s="3" t="s">
        <v>9372</v>
      </c>
      <c r="C11177" s="3" t="s">
        <v>9378</v>
      </c>
      <c r="D11177" s="4" t="str">
        <f>HYPERLINK("https://12go.asia/en/travel/Ben-Cat/Pham-Hong-Thai-Street", "12Go Link")</f>
        <v>12Go Link</v>
      </c>
      <c r="E11177" s="3" t="s">
        <v>9374</v>
      </c>
      <c r="K11177" s="5"/>
    </row>
    <row r="11178">
      <c r="A11178" s="3" t="s">
        <v>9371</v>
      </c>
      <c r="B11178" s="3" t="s">
        <v>9372</v>
      </c>
      <c r="C11178" s="3" t="s">
        <v>9379</v>
      </c>
      <c r="D11178" s="4" t="str">
        <f>HYPERLINK("https://12go.asia/en/travel/Ben-Cat/Tram-Hanh-Cau-Dat", "12Go Link")</f>
        <v>12Go Link</v>
      </c>
      <c r="E11178" s="3" t="s">
        <v>9374</v>
      </c>
      <c r="K11178" s="5"/>
    </row>
    <row r="11179">
      <c r="A11179" s="3" t="s">
        <v>9371</v>
      </c>
      <c r="B11179" s="3" t="s">
        <v>9372</v>
      </c>
      <c r="C11179" s="3" t="s">
        <v>9380</v>
      </c>
      <c r="D11179" s="4" t="str">
        <f>HYPERLINK("https://12go.asia/en/travel/Thu-Dau-Mot-Binh-Duong/190-Xo-Viet-Nghe-Tinh", "12Go Link")</f>
        <v>12Go Link</v>
      </c>
      <c r="E11179" s="3" t="s">
        <v>9374</v>
      </c>
      <c r="K11179" s="5"/>
    </row>
    <row r="11180">
      <c r="A11180" s="3" t="s">
        <v>9371</v>
      </c>
      <c r="B11180" s="3" t="s">
        <v>9372</v>
      </c>
      <c r="C11180" s="3" t="s">
        <v>9381</v>
      </c>
      <c r="D11180" s="4" t="str">
        <f>HYPERLINK("https://12go.asia/en/travel/Thu-Dau-Mot-Binh-Duong/28-Tran-Hung-Dao", "12Go Link")</f>
        <v>12Go Link</v>
      </c>
      <c r="E11180" s="3" t="s">
        <v>9374</v>
      </c>
      <c r="K11180" s="5"/>
    </row>
    <row r="11181">
      <c r="A11181" s="3" t="s">
        <v>9371</v>
      </c>
      <c r="B11181" s="3" t="s">
        <v>9372</v>
      </c>
      <c r="C11181" s="3" t="s">
        <v>9382</v>
      </c>
      <c r="D11181" s="4" t="str">
        <f>HYPERLINK("https://12go.asia/en/travel/Thu-Dau-Mot-Binh-Duong/Da-Lat-Bus-Station", "12Go Link")</f>
        <v>12Go Link</v>
      </c>
      <c r="E11181" s="3" t="s">
        <v>9374</v>
      </c>
      <c r="K11181" s="5"/>
    </row>
    <row r="11182">
      <c r="A11182" s="3" t="s">
        <v>9371</v>
      </c>
      <c r="B11182" s="3" t="s">
        <v>9372</v>
      </c>
      <c r="C11182" s="3" t="s">
        <v>9383</v>
      </c>
      <c r="D11182" s="4" t="str">
        <f>HYPERLINK("https://12go.asia/en/travel/Thu-Dau-Mot-Binh-Duong/Dalat-Railway-Station", "12Go Link")</f>
        <v>12Go Link</v>
      </c>
      <c r="E11182" s="3" t="s">
        <v>9374</v>
      </c>
      <c r="K11182" s="5"/>
    </row>
    <row r="11183">
      <c r="A11183" s="3" t="s">
        <v>9371</v>
      </c>
      <c r="B11183" s="3" t="s">
        <v>9372</v>
      </c>
      <c r="C11183" s="3" t="s">
        <v>9384</v>
      </c>
      <c r="D11183" s="4" t="str">
        <f>HYPERLINK("https://12go.asia/en/travel/Thu-Dau-Mot-Binh-Duong/Pham-Hong-Thai-Street", "12Go Link")</f>
        <v>12Go Link</v>
      </c>
      <c r="E11183" s="3" t="s">
        <v>9374</v>
      </c>
      <c r="K11183" s="5"/>
    </row>
    <row r="11184">
      <c r="A11184" s="3" t="s">
        <v>9371</v>
      </c>
      <c r="B11184" s="3" t="s">
        <v>9372</v>
      </c>
      <c r="C11184" s="3" t="s">
        <v>9385</v>
      </c>
      <c r="D11184" s="4" t="str">
        <f>HYPERLINK("https://12go.asia/en/travel/Thu-Dau-Mot-Binh-Duong/Tram-Hanh-Cau-Dat", "12Go Link")</f>
        <v>12Go Link</v>
      </c>
      <c r="E11184" s="3" t="s">
        <v>9374</v>
      </c>
      <c r="K11184" s="5"/>
    </row>
    <row r="11185">
      <c r="A11185" s="3" t="s">
        <v>9371</v>
      </c>
      <c r="B11185" s="3" t="s">
        <v>9386</v>
      </c>
      <c r="C11185" s="3" t="s">
        <v>9387</v>
      </c>
      <c r="D11185" s="4" t="str">
        <f>HYPERLINK("https://12go.asia/en/travel/Ben-Cat/Lac-Duong-Da-Lat", "12Go Link")</f>
        <v>12Go Link</v>
      </c>
      <c r="E11185" s="3" t="s">
        <v>9374</v>
      </c>
      <c r="K11185" s="5"/>
    </row>
    <row r="11186">
      <c r="A11186" s="3" t="s">
        <v>9371</v>
      </c>
      <c r="B11186" s="3" t="s">
        <v>9386</v>
      </c>
      <c r="C11186" s="3" t="s">
        <v>9388</v>
      </c>
      <c r="D11186" s="4" t="str">
        <f>HYPERLINK("https://12go.asia/en/travel/Thu-Dau-Mot-Binh-Duong/Lac-Duong-Da-Lat", "12Go Link")</f>
        <v>12Go Link</v>
      </c>
      <c r="E11186" s="3" t="s">
        <v>9374</v>
      </c>
      <c r="K11186" s="5"/>
    </row>
    <row r="11187">
      <c r="A11187" s="3" t="s">
        <v>9389</v>
      </c>
      <c r="B11187" s="3" t="s">
        <v>9390</v>
      </c>
      <c r="C11187" s="3" t="s">
        <v>9391</v>
      </c>
      <c r="D11187" s="4" t="str">
        <f>HYPERLINK("https://12go.asia/en/travel/binh-thuan/dong-ha", "12Go Link")</f>
        <v>12Go Link</v>
      </c>
      <c r="E11187" s="3" t="s">
        <v>94</v>
      </c>
      <c r="K11187" s="5"/>
    </row>
    <row r="11188">
      <c r="A11188" s="3" t="s">
        <v>9389</v>
      </c>
      <c r="B11188" s="3" t="s">
        <v>9390</v>
      </c>
      <c r="C11188" s="3" t="s">
        <v>9392</v>
      </c>
      <c r="D11188" s="4" t="str">
        <f>HYPERLINK("https://12go.asia/en/travel/binh-thuan/quang-tri", "12Go Link")</f>
        <v>12Go Link</v>
      </c>
      <c r="E11188" s="3" t="s">
        <v>94</v>
      </c>
      <c r="K11188" s="5"/>
    </row>
    <row r="11189">
      <c r="A11189" s="3" t="s">
        <v>9393</v>
      </c>
      <c r="B11189" s="3" t="s">
        <v>9372</v>
      </c>
      <c r="C11189" s="3" t="s">
        <v>9394</v>
      </c>
      <c r="D11189" s="4" t="str">
        <f t="shared" ref="D11189:D11193" si="1631">HYPERLINK("https://12go.asia/en/travel/Cam-Ranh-Airport/Da-Lat", "12Go Link")</f>
        <v>12Go Link</v>
      </c>
      <c r="E11189" s="3" t="s">
        <v>222</v>
      </c>
      <c r="K11189" s="5"/>
    </row>
    <row r="11190">
      <c r="A11190" s="3" t="s">
        <v>9393</v>
      </c>
      <c r="B11190" s="3" t="s">
        <v>9372</v>
      </c>
      <c r="C11190" s="3" t="s">
        <v>9394</v>
      </c>
      <c r="D11190" s="4" t="str">
        <f t="shared" si="1631"/>
        <v>12Go Link</v>
      </c>
      <c r="E11190" s="3" t="s">
        <v>6599</v>
      </c>
      <c r="K11190" s="5"/>
    </row>
    <row r="11191">
      <c r="A11191" s="3" t="s">
        <v>9393</v>
      </c>
      <c r="B11191" s="3" t="s">
        <v>9372</v>
      </c>
      <c r="C11191" s="3" t="s">
        <v>9394</v>
      </c>
      <c r="D11191" s="4" t="str">
        <f t="shared" si="1631"/>
        <v>12Go Link</v>
      </c>
      <c r="E11191" s="3" t="s">
        <v>9395</v>
      </c>
      <c r="K11191" s="5"/>
    </row>
    <row r="11192">
      <c r="A11192" s="3" t="s">
        <v>9393</v>
      </c>
      <c r="B11192" s="3" t="s">
        <v>9372</v>
      </c>
      <c r="C11192" s="3" t="s">
        <v>9394</v>
      </c>
      <c r="D11192" s="4" t="str">
        <f t="shared" si="1631"/>
        <v>12Go Link</v>
      </c>
      <c r="E11192" s="3" t="s">
        <v>9396</v>
      </c>
      <c r="K11192" s="5"/>
    </row>
    <row r="11193">
      <c r="A11193" s="3" t="s">
        <v>9393</v>
      </c>
      <c r="B11193" s="3" t="s">
        <v>9372</v>
      </c>
      <c r="C11193" s="3" t="s">
        <v>9394</v>
      </c>
      <c r="D11193" s="4" t="str">
        <f t="shared" si="1631"/>
        <v>12Go Link</v>
      </c>
      <c r="E11193" s="3" t="s">
        <v>7470</v>
      </c>
      <c r="K11193" s="5"/>
    </row>
    <row r="11194">
      <c r="A11194" s="3" t="s">
        <v>9393</v>
      </c>
      <c r="B11194" s="3" t="s">
        <v>9397</v>
      </c>
      <c r="C11194" s="3" t="s">
        <v>9398</v>
      </c>
      <c r="D11194" s="4" t="str">
        <f t="shared" ref="D11194:D11198" si="1632">HYPERLINK("https://12go.asia/en/travel/Cam-Ranh-Airport/Ninh-Van-Bay", "12Go Link")</f>
        <v>12Go Link</v>
      </c>
      <c r="E11194" s="3" t="s">
        <v>222</v>
      </c>
      <c r="K11194" s="5"/>
    </row>
    <row r="11195">
      <c r="A11195" s="3" t="s">
        <v>9393</v>
      </c>
      <c r="B11195" s="3" t="s">
        <v>9397</v>
      </c>
      <c r="C11195" s="3" t="s">
        <v>9398</v>
      </c>
      <c r="D11195" s="4" t="str">
        <f t="shared" si="1632"/>
        <v>12Go Link</v>
      </c>
      <c r="E11195" s="3" t="s">
        <v>6599</v>
      </c>
      <c r="K11195" s="5"/>
    </row>
    <row r="11196">
      <c r="A11196" s="3" t="s">
        <v>9393</v>
      </c>
      <c r="B11196" s="3" t="s">
        <v>9397</v>
      </c>
      <c r="C11196" s="3" t="s">
        <v>9398</v>
      </c>
      <c r="D11196" s="4" t="str">
        <f t="shared" si="1632"/>
        <v>12Go Link</v>
      </c>
      <c r="E11196" s="3" t="s">
        <v>9395</v>
      </c>
      <c r="K11196" s="5"/>
    </row>
    <row r="11197">
      <c r="A11197" s="3" t="s">
        <v>9393</v>
      </c>
      <c r="B11197" s="3" t="s">
        <v>9397</v>
      </c>
      <c r="C11197" s="3" t="s">
        <v>9398</v>
      </c>
      <c r="D11197" s="4" t="str">
        <f t="shared" si="1632"/>
        <v>12Go Link</v>
      </c>
      <c r="E11197" s="3" t="s">
        <v>9396</v>
      </c>
      <c r="K11197" s="5"/>
    </row>
    <row r="11198">
      <c r="A11198" s="3" t="s">
        <v>9393</v>
      </c>
      <c r="B11198" s="3" t="s">
        <v>9397</v>
      </c>
      <c r="C11198" s="3" t="s">
        <v>9398</v>
      </c>
      <c r="D11198" s="4" t="str">
        <f t="shared" si="1632"/>
        <v>12Go Link</v>
      </c>
      <c r="E11198" s="3" t="s">
        <v>7470</v>
      </c>
      <c r="K11198" s="5"/>
    </row>
    <row r="11199">
      <c r="A11199" s="3" t="s">
        <v>9393</v>
      </c>
      <c r="B11199" s="3" t="s">
        <v>9399</v>
      </c>
      <c r="C11199" s="3" t="s">
        <v>9400</v>
      </c>
      <c r="D11199" s="4" t="str">
        <f t="shared" ref="D11199:D11203" si="1633">HYPERLINK("https://12go.asia/en/travel/Cam-Ranh-Airport/Phan-Rang", "12Go Link")</f>
        <v>12Go Link</v>
      </c>
      <c r="E11199" s="3" t="s">
        <v>222</v>
      </c>
      <c r="K11199" s="5"/>
    </row>
    <row r="11200">
      <c r="A11200" s="3" t="s">
        <v>9393</v>
      </c>
      <c r="B11200" s="3" t="s">
        <v>9399</v>
      </c>
      <c r="C11200" s="3" t="s">
        <v>9400</v>
      </c>
      <c r="D11200" s="4" t="str">
        <f t="shared" si="1633"/>
        <v>12Go Link</v>
      </c>
      <c r="E11200" s="3" t="s">
        <v>6599</v>
      </c>
      <c r="K11200" s="5"/>
    </row>
    <row r="11201">
      <c r="A11201" s="3" t="s">
        <v>9393</v>
      </c>
      <c r="B11201" s="3" t="s">
        <v>9399</v>
      </c>
      <c r="C11201" s="3" t="s">
        <v>9400</v>
      </c>
      <c r="D11201" s="4" t="str">
        <f t="shared" si="1633"/>
        <v>12Go Link</v>
      </c>
      <c r="E11201" s="3" t="s">
        <v>9395</v>
      </c>
      <c r="K11201" s="5"/>
    </row>
    <row r="11202">
      <c r="A11202" s="3" t="s">
        <v>9393</v>
      </c>
      <c r="B11202" s="3" t="s">
        <v>9399</v>
      </c>
      <c r="C11202" s="3" t="s">
        <v>9400</v>
      </c>
      <c r="D11202" s="4" t="str">
        <f t="shared" si="1633"/>
        <v>12Go Link</v>
      </c>
      <c r="E11202" s="3" t="s">
        <v>9396</v>
      </c>
      <c r="K11202" s="5"/>
    </row>
    <row r="11203">
      <c r="A11203" s="3" t="s">
        <v>9393</v>
      </c>
      <c r="B11203" s="3" t="s">
        <v>9399</v>
      </c>
      <c r="C11203" s="3" t="s">
        <v>9400</v>
      </c>
      <c r="D11203" s="4" t="str">
        <f t="shared" si="1633"/>
        <v>12Go Link</v>
      </c>
      <c r="E11203" s="3" t="s">
        <v>7470</v>
      </c>
      <c r="K11203" s="5"/>
    </row>
    <row r="11204">
      <c r="A11204" s="3" t="s">
        <v>9393</v>
      </c>
      <c r="B11204" s="3" t="s">
        <v>9401</v>
      </c>
      <c r="C11204" s="3" t="s">
        <v>9402</v>
      </c>
      <c r="D11204" s="4" t="str">
        <f t="shared" ref="D11204:D11208" si="1634">HYPERLINK("https://12go.asia/en/travel/Cam-Ranh-Airport/Tuy-Hoa", "12Go Link")</f>
        <v>12Go Link</v>
      </c>
      <c r="E11204" s="3" t="s">
        <v>222</v>
      </c>
      <c r="K11204" s="5"/>
    </row>
    <row r="11205">
      <c r="A11205" s="3" t="s">
        <v>9393</v>
      </c>
      <c r="B11205" s="3" t="s">
        <v>9401</v>
      </c>
      <c r="C11205" s="3" t="s">
        <v>9402</v>
      </c>
      <c r="D11205" s="4" t="str">
        <f t="shared" si="1634"/>
        <v>12Go Link</v>
      </c>
      <c r="E11205" s="3" t="s">
        <v>6599</v>
      </c>
      <c r="K11205" s="5"/>
    </row>
    <row r="11206">
      <c r="A11206" s="3" t="s">
        <v>9393</v>
      </c>
      <c r="B11206" s="3" t="s">
        <v>9401</v>
      </c>
      <c r="C11206" s="3" t="s">
        <v>9402</v>
      </c>
      <c r="D11206" s="4" t="str">
        <f t="shared" si="1634"/>
        <v>12Go Link</v>
      </c>
      <c r="E11206" s="3" t="s">
        <v>9395</v>
      </c>
      <c r="K11206" s="5"/>
    </row>
    <row r="11207">
      <c r="A11207" s="3" t="s">
        <v>9393</v>
      </c>
      <c r="B11207" s="3" t="s">
        <v>9401</v>
      </c>
      <c r="C11207" s="3" t="s">
        <v>9402</v>
      </c>
      <c r="D11207" s="4" t="str">
        <f t="shared" si="1634"/>
        <v>12Go Link</v>
      </c>
      <c r="E11207" s="3" t="s">
        <v>9396</v>
      </c>
      <c r="K11207" s="5"/>
    </row>
    <row r="11208">
      <c r="A11208" s="3" t="s">
        <v>9393</v>
      </c>
      <c r="B11208" s="3" t="s">
        <v>9401</v>
      </c>
      <c r="C11208" s="3" t="s">
        <v>9402</v>
      </c>
      <c r="D11208" s="4" t="str">
        <f t="shared" si="1634"/>
        <v>12Go Link</v>
      </c>
      <c r="E11208" s="3" t="s">
        <v>7470</v>
      </c>
      <c r="K11208" s="5"/>
    </row>
    <row r="11209">
      <c r="A11209" s="3" t="s">
        <v>9372</v>
      </c>
      <c r="B11209" s="3" t="s">
        <v>9371</v>
      </c>
      <c r="C11209" s="3" t="s">
        <v>9403</v>
      </c>
      <c r="D11209" s="4" t="str">
        <f t="shared" ref="D11209:D11210" si="1635">HYPERLINK("https://12go.asia/en/travel/190-Xo-Viet-Nghe-Tinh/Ben-Cat", "12Go Link")</f>
        <v>12Go Link</v>
      </c>
      <c r="E11209" s="3" t="s">
        <v>9374</v>
      </c>
      <c r="K11209" s="5"/>
    </row>
    <row r="11210">
      <c r="A11210" s="3" t="s">
        <v>9372</v>
      </c>
      <c r="B11210" s="3" t="s">
        <v>9371</v>
      </c>
      <c r="C11210" s="3" t="s">
        <v>9403</v>
      </c>
      <c r="D11210" s="4" t="str">
        <f t="shared" si="1635"/>
        <v>12Go Link</v>
      </c>
      <c r="E11210" s="3" t="s">
        <v>316</v>
      </c>
      <c r="K11210" s="5"/>
    </row>
    <row r="11211">
      <c r="A11211" s="3" t="s">
        <v>9372</v>
      </c>
      <c r="B11211" s="3" t="s">
        <v>9371</v>
      </c>
      <c r="C11211" s="3" t="s">
        <v>9404</v>
      </c>
      <c r="D11211" s="4" t="str">
        <f t="shared" ref="D11211:D11212" si="1636">HYPERLINK("https://12go.asia/en/travel/190-Xo-Viet-Nghe-Tinh/Thu-Dau-Mot-Binh-Duong", "12Go Link")</f>
        <v>12Go Link</v>
      </c>
      <c r="E11211" s="3" t="s">
        <v>9374</v>
      </c>
      <c r="K11211" s="5"/>
    </row>
    <row r="11212">
      <c r="A11212" s="3" t="s">
        <v>9372</v>
      </c>
      <c r="B11212" s="3" t="s">
        <v>9371</v>
      </c>
      <c r="C11212" s="3" t="s">
        <v>9404</v>
      </c>
      <c r="D11212" s="4" t="str">
        <f t="shared" si="1636"/>
        <v>12Go Link</v>
      </c>
      <c r="E11212" s="3" t="s">
        <v>316</v>
      </c>
      <c r="K11212" s="5"/>
    </row>
    <row r="11213">
      <c r="A11213" s="3" t="s">
        <v>9372</v>
      </c>
      <c r="B11213" s="3" t="s">
        <v>9371</v>
      </c>
      <c r="C11213" s="3" t="s">
        <v>9405</v>
      </c>
      <c r="D11213" s="4" t="str">
        <f t="shared" ref="D11213:D11214" si="1637">HYPERLINK("https://12go.asia/en/travel/Pham-Hong-Thai-Street/Ben-Cat", "12Go Link")</f>
        <v>12Go Link</v>
      </c>
      <c r="E11213" s="3" t="s">
        <v>9374</v>
      </c>
      <c r="K11213" s="5"/>
    </row>
    <row r="11214">
      <c r="A11214" s="3" t="s">
        <v>9372</v>
      </c>
      <c r="B11214" s="3" t="s">
        <v>9371</v>
      </c>
      <c r="C11214" s="3" t="s">
        <v>9405</v>
      </c>
      <c r="D11214" s="4" t="str">
        <f t="shared" si="1637"/>
        <v>12Go Link</v>
      </c>
      <c r="E11214" s="3" t="s">
        <v>316</v>
      </c>
      <c r="K11214" s="5"/>
    </row>
    <row r="11215">
      <c r="A11215" s="3" t="s">
        <v>9372</v>
      </c>
      <c r="B11215" s="3" t="s">
        <v>9371</v>
      </c>
      <c r="C11215" s="3" t="s">
        <v>9406</v>
      </c>
      <c r="D11215" s="4" t="str">
        <f t="shared" ref="D11215:D11216" si="1638">HYPERLINK("https://12go.asia/en/travel/Pham-Hong-Thai-Street/Thu-Dau-Mot-Binh-Duong", "12Go Link")</f>
        <v>12Go Link</v>
      </c>
      <c r="E11215" s="3" t="s">
        <v>9374</v>
      </c>
      <c r="K11215" s="5"/>
    </row>
    <row r="11216">
      <c r="A11216" s="3" t="s">
        <v>9372</v>
      </c>
      <c r="B11216" s="3" t="s">
        <v>9371</v>
      </c>
      <c r="C11216" s="3" t="s">
        <v>9406</v>
      </c>
      <c r="D11216" s="4" t="str">
        <f t="shared" si="1638"/>
        <v>12Go Link</v>
      </c>
      <c r="E11216" s="3" t="s">
        <v>316</v>
      </c>
      <c r="K11216" s="5"/>
    </row>
    <row r="11217">
      <c r="A11217" s="3" t="s">
        <v>9372</v>
      </c>
      <c r="B11217" s="3" t="s">
        <v>9371</v>
      </c>
      <c r="C11217" s="3" t="s">
        <v>9407</v>
      </c>
      <c r="D11217" s="4" t="str">
        <f>HYPERLINK("https://12go.asia/en/travel/Tram-Hanh-Cau-Dat/Ben-Cat", "12Go Link")</f>
        <v>12Go Link</v>
      </c>
      <c r="E11217" s="3" t="s">
        <v>9374</v>
      </c>
      <c r="K11217" s="5"/>
    </row>
    <row r="11218">
      <c r="A11218" s="3" t="s">
        <v>9372</v>
      </c>
      <c r="B11218" s="3" t="s">
        <v>9371</v>
      </c>
      <c r="C11218" s="3" t="s">
        <v>9408</v>
      </c>
      <c r="D11218" s="4" t="str">
        <f>HYPERLINK("https://12go.asia/en/travel/Tram-Hanh-Cau-Dat/Thu-Dau-Mot-Binh-Duong", "12Go Link")</f>
        <v>12Go Link</v>
      </c>
      <c r="E11218" s="3" t="s">
        <v>9374</v>
      </c>
      <c r="K11218" s="5"/>
    </row>
    <row r="11219">
      <c r="A11219" s="3" t="s">
        <v>9372</v>
      </c>
      <c r="B11219" s="3" t="s">
        <v>9372</v>
      </c>
      <c r="C11219" s="3" t="s">
        <v>9409</v>
      </c>
      <c r="D11219" s="4" t="str">
        <f t="shared" ref="D11219:D11223" si="1639">HYPERLINK("https://12go.asia/en/travel/Lien-Khuong-Airport-DLI/Da-Lat", "12Go Link")</f>
        <v>12Go Link</v>
      </c>
      <c r="E11219" s="3" t="s">
        <v>222</v>
      </c>
      <c r="K11219" s="5"/>
    </row>
    <row r="11220">
      <c r="A11220" s="3" t="s">
        <v>9372</v>
      </c>
      <c r="B11220" s="3" t="s">
        <v>9372</v>
      </c>
      <c r="C11220" s="3" t="s">
        <v>9409</v>
      </c>
      <c r="D11220" s="4" t="str">
        <f t="shared" si="1639"/>
        <v>12Go Link</v>
      </c>
      <c r="E11220" s="3" t="s">
        <v>6599</v>
      </c>
      <c r="K11220" s="5"/>
    </row>
    <row r="11221">
      <c r="A11221" s="3" t="s">
        <v>9372</v>
      </c>
      <c r="B11221" s="3" t="s">
        <v>9372</v>
      </c>
      <c r="C11221" s="3" t="s">
        <v>9409</v>
      </c>
      <c r="D11221" s="4" t="str">
        <f t="shared" si="1639"/>
        <v>12Go Link</v>
      </c>
      <c r="E11221" s="3" t="s">
        <v>9395</v>
      </c>
      <c r="K11221" s="5"/>
    </row>
    <row r="11222">
      <c r="A11222" s="3" t="s">
        <v>9372</v>
      </c>
      <c r="B11222" s="3" t="s">
        <v>9372</v>
      </c>
      <c r="C11222" s="3" t="s">
        <v>9409</v>
      </c>
      <c r="D11222" s="4" t="str">
        <f t="shared" si="1639"/>
        <v>12Go Link</v>
      </c>
      <c r="E11222" s="3" t="s">
        <v>9396</v>
      </c>
      <c r="K11222" s="5"/>
    </row>
    <row r="11223">
      <c r="A11223" s="3" t="s">
        <v>9372</v>
      </c>
      <c r="B11223" s="3" t="s">
        <v>9372</v>
      </c>
      <c r="C11223" s="3" t="s">
        <v>9409</v>
      </c>
      <c r="D11223" s="4" t="str">
        <f t="shared" si="1639"/>
        <v>12Go Link</v>
      </c>
      <c r="E11223" s="3" t="s">
        <v>7470</v>
      </c>
      <c r="K11223" s="5"/>
    </row>
    <row r="11224">
      <c r="A11224" s="3" t="s">
        <v>9372</v>
      </c>
      <c r="B11224" s="3" t="s">
        <v>9410</v>
      </c>
      <c r="C11224" s="3" t="s">
        <v>9411</v>
      </c>
      <c r="D11224" s="4" t="str">
        <f t="shared" ref="D11224:D11227" si="1640">HYPERLINK("https://12go.asia/en/travel/190-Xo-Viet-Nghe-Tinh/Park-30-4-Bien-Hoa", "12Go Link")</f>
        <v>12Go Link</v>
      </c>
      <c r="E11224" s="3" t="s">
        <v>9374</v>
      </c>
      <c r="K11224" s="5"/>
    </row>
    <row r="11225">
      <c r="A11225" s="3" t="s">
        <v>9372</v>
      </c>
      <c r="B11225" s="3" t="s">
        <v>9410</v>
      </c>
      <c r="C11225" s="3" t="s">
        <v>9411</v>
      </c>
      <c r="D11225" s="4" t="str">
        <f t="shared" si="1640"/>
        <v>12Go Link</v>
      </c>
      <c r="E11225" s="3" t="s">
        <v>316</v>
      </c>
      <c r="K11225" s="5"/>
    </row>
    <row r="11226">
      <c r="A11226" s="3" t="s">
        <v>9372</v>
      </c>
      <c r="B11226" s="3" t="s">
        <v>9410</v>
      </c>
      <c r="C11226" s="3" t="s">
        <v>9411</v>
      </c>
      <c r="D11226" s="4" t="str">
        <f t="shared" si="1640"/>
        <v>12Go Link</v>
      </c>
      <c r="E11226" s="3" t="s">
        <v>9412</v>
      </c>
      <c r="K11226" s="5"/>
    </row>
    <row r="11227">
      <c r="A11227" s="3" t="s">
        <v>9372</v>
      </c>
      <c r="B11227" s="3" t="s">
        <v>9410</v>
      </c>
      <c r="C11227" s="3" t="s">
        <v>9411</v>
      </c>
      <c r="D11227" s="4" t="str">
        <f t="shared" si="1640"/>
        <v>12Go Link</v>
      </c>
      <c r="E11227" s="3" t="s">
        <v>9413</v>
      </c>
      <c r="K11227" s="5"/>
    </row>
    <row r="11228">
      <c r="A11228" s="3" t="s">
        <v>9372</v>
      </c>
      <c r="B11228" s="3" t="s">
        <v>9410</v>
      </c>
      <c r="C11228" s="3" t="s">
        <v>9414</v>
      </c>
      <c r="D11228" s="4" t="str">
        <f>HYPERLINK("https://12go.asia/en/travel/Da-Lat-Bus-Station/Amata-Industrial-Park", "12Go Link")</f>
        <v>12Go Link</v>
      </c>
      <c r="E11228" s="3" t="s">
        <v>9415</v>
      </c>
      <c r="K11228" s="5"/>
    </row>
    <row r="11229">
      <c r="A11229" s="3" t="s">
        <v>9372</v>
      </c>
      <c r="B11229" s="3" t="s">
        <v>9410</v>
      </c>
      <c r="C11229" s="3" t="s">
        <v>9416</v>
      </c>
      <c r="D11229" s="4" t="str">
        <f>HYPERLINK("https://12go.asia/en/travel/Da-Lat-Bus-Station/Tam-Hiep-Park", "12Go Link")</f>
        <v>12Go Link</v>
      </c>
      <c r="E11229" s="3" t="s">
        <v>9415</v>
      </c>
      <c r="K11229" s="5"/>
    </row>
    <row r="11230">
      <c r="A11230" s="3" t="s">
        <v>9372</v>
      </c>
      <c r="B11230" s="3" t="s">
        <v>9410</v>
      </c>
      <c r="C11230" s="3" t="s">
        <v>9417</v>
      </c>
      <c r="D11230" s="4" t="str">
        <f t="shared" ref="D11230:D11233" si="1641">HYPERLINK("https://12go.asia/en/travel/Pham-Hong-Thai-Street/Park-30-4-Bien-Hoa", "12Go Link")</f>
        <v>12Go Link</v>
      </c>
      <c r="E11230" s="3" t="s">
        <v>9374</v>
      </c>
      <c r="K11230" s="5"/>
    </row>
    <row r="11231">
      <c r="A11231" s="3" t="s">
        <v>9372</v>
      </c>
      <c r="B11231" s="3" t="s">
        <v>9410</v>
      </c>
      <c r="C11231" s="3" t="s">
        <v>9417</v>
      </c>
      <c r="D11231" s="4" t="str">
        <f t="shared" si="1641"/>
        <v>12Go Link</v>
      </c>
      <c r="E11231" s="3" t="s">
        <v>316</v>
      </c>
      <c r="K11231" s="5"/>
    </row>
    <row r="11232">
      <c r="A11232" s="3" t="s">
        <v>9372</v>
      </c>
      <c r="B11232" s="3" t="s">
        <v>9410</v>
      </c>
      <c r="C11232" s="3" t="s">
        <v>9417</v>
      </c>
      <c r="D11232" s="4" t="str">
        <f t="shared" si="1641"/>
        <v>12Go Link</v>
      </c>
      <c r="E11232" s="3" t="s">
        <v>9412</v>
      </c>
      <c r="K11232" s="5"/>
    </row>
    <row r="11233">
      <c r="A11233" s="3" t="s">
        <v>9372</v>
      </c>
      <c r="B11233" s="3" t="s">
        <v>9410</v>
      </c>
      <c r="C11233" s="3" t="s">
        <v>9417</v>
      </c>
      <c r="D11233" s="4" t="str">
        <f t="shared" si="1641"/>
        <v>12Go Link</v>
      </c>
      <c r="E11233" s="3" t="s">
        <v>9413</v>
      </c>
      <c r="K11233" s="5"/>
    </row>
    <row r="11234">
      <c r="A11234" s="3" t="s">
        <v>9372</v>
      </c>
      <c r="B11234" s="3" t="s">
        <v>9410</v>
      </c>
      <c r="C11234" s="3" t="s">
        <v>9418</v>
      </c>
      <c r="D11234" s="4" t="str">
        <f>HYPERLINK("https://12go.asia/en/travel/Tram-Hanh-Cau-Dat/Park-30-4-Bien-Hoa", "12Go Link")</f>
        <v>12Go Link</v>
      </c>
      <c r="E11234" s="3" t="s">
        <v>9374</v>
      </c>
      <c r="K11234" s="5"/>
    </row>
    <row r="11235">
      <c r="A11235" s="3" t="s">
        <v>9372</v>
      </c>
      <c r="B11235" s="3" t="s">
        <v>9419</v>
      </c>
      <c r="C11235" s="3" t="s">
        <v>9420</v>
      </c>
      <c r="D11235" s="4" t="str">
        <f t="shared" ref="D11235:D11238" si="1642">HYPERLINK("https://12go.asia/en/travel/190-Xo-Viet-Nghe-Tinh/144-Nguyen-Van-Luong", "12Go Link")</f>
        <v>12Go Link</v>
      </c>
      <c r="E11235" s="3" t="s">
        <v>9374</v>
      </c>
      <c r="K11235" s="5"/>
    </row>
    <row r="11236">
      <c r="A11236" s="3" t="s">
        <v>9372</v>
      </c>
      <c r="B11236" s="3" t="s">
        <v>9419</v>
      </c>
      <c r="C11236" s="3" t="s">
        <v>9420</v>
      </c>
      <c r="D11236" s="4" t="str">
        <f t="shared" si="1642"/>
        <v>12Go Link</v>
      </c>
      <c r="E11236" s="3" t="s">
        <v>316</v>
      </c>
      <c r="K11236" s="5"/>
    </row>
    <row r="11237">
      <c r="A11237" s="3" t="s">
        <v>9372</v>
      </c>
      <c r="B11237" s="3" t="s">
        <v>9419</v>
      </c>
      <c r="C11237" s="3" t="s">
        <v>9420</v>
      </c>
      <c r="D11237" s="4" t="str">
        <f t="shared" si="1642"/>
        <v>12Go Link</v>
      </c>
      <c r="E11237" s="3" t="s">
        <v>9412</v>
      </c>
      <c r="K11237" s="5"/>
    </row>
    <row r="11238">
      <c r="A11238" s="3" t="s">
        <v>9372</v>
      </c>
      <c r="B11238" s="3" t="s">
        <v>9419</v>
      </c>
      <c r="C11238" s="3" t="s">
        <v>9420</v>
      </c>
      <c r="D11238" s="4" t="str">
        <f t="shared" si="1642"/>
        <v>12Go Link</v>
      </c>
      <c r="E11238" s="3" t="s">
        <v>9413</v>
      </c>
      <c r="K11238" s="5"/>
    </row>
    <row r="11239">
      <c r="A11239" s="3" t="s">
        <v>9372</v>
      </c>
      <c r="B11239" s="3" t="s">
        <v>9419</v>
      </c>
      <c r="C11239" s="3" t="s">
        <v>9421</v>
      </c>
      <c r="D11239" s="4" t="str">
        <f t="shared" ref="D11239:D11242" si="1643">HYPERLINK("https://12go.asia/en/travel/190-Xo-Viet-Nghe-Tinh/Binh-Phuoc-intersection", "12Go Link")</f>
        <v>12Go Link</v>
      </c>
      <c r="E11239" s="3" t="s">
        <v>9374</v>
      </c>
      <c r="K11239" s="5"/>
    </row>
    <row r="11240">
      <c r="A11240" s="3" t="s">
        <v>9372</v>
      </c>
      <c r="B11240" s="3" t="s">
        <v>9419</v>
      </c>
      <c r="C11240" s="3" t="s">
        <v>9421</v>
      </c>
      <c r="D11240" s="4" t="str">
        <f t="shared" si="1643"/>
        <v>12Go Link</v>
      </c>
      <c r="E11240" s="3" t="s">
        <v>316</v>
      </c>
      <c r="K11240" s="5"/>
    </row>
    <row r="11241">
      <c r="A11241" s="3" t="s">
        <v>9372</v>
      </c>
      <c r="B11241" s="3" t="s">
        <v>9419</v>
      </c>
      <c r="C11241" s="3" t="s">
        <v>9421</v>
      </c>
      <c r="D11241" s="4" t="str">
        <f t="shared" si="1643"/>
        <v>12Go Link</v>
      </c>
      <c r="E11241" s="3" t="s">
        <v>9412</v>
      </c>
      <c r="K11241" s="5"/>
    </row>
    <row r="11242">
      <c r="A11242" s="3" t="s">
        <v>9372</v>
      </c>
      <c r="B11242" s="3" t="s">
        <v>9419</v>
      </c>
      <c r="C11242" s="3" t="s">
        <v>9421</v>
      </c>
      <c r="D11242" s="4" t="str">
        <f t="shared" si="1643"/>
        <v>12Go Link</v>
      </c>
      <c r="E11242" s="3" t="s">
        <v>9413</v>
      </c>
      <c r="K11242" s="5"/>
    </row>
    <row r="11243">
      <c r="A11243" s="3" t="s">
        <v>9372</v>
      </c>
      <c r="B11243" s="3" t="s">
        <v>9419</v>
      </c>
      <c r="C11243" s="3" t="s">
        <v>9422</v>
      </c>
      <c r="D11243" s="4" t="str">
        <f t="shared" ref="D11243:D11246" si="1644">HYPERLINK("https://12go.asia/en/travel/190-Xo-Viet-Nghe-Tinh/Binh-Thanh", "12Go Link")</f>
        <v>12Go Link</v>
      </c>
      <c r="E11243" s="3" t="s">
        <v>9374</v>
      </c>
      <c r="K11243" s="5"/>
    </row>
    <row r="11244">
      <c r="A11244" s="3" t="s">
        <v>9372</v>
      </c>
      <c r="B11244" s="3" t="s">
        <v>9419</v>
      </c>
      <c r="C11244" s="3" t="s">
        <v>9422</v>
      </c>
      <c r="D11244" s="4" t="str">
        <f t="shared" si="1644"/>
        <v>12Go Link</v>
      </c>
      <c r="E11244" s="3" t="s">
        <v>316</v>
      </c>
      <c r="K11244" s="5"/>
    </row>
    <row r="11245">
      <c r="A11245" s="3" t="s">
        <v>9372</v>
      </c>
      <c r="B11245" s="3" t="s">
        <v>9419</v>
      </c>
      <c r="C11245" s="3" t="s">
        <v>9422</v>
      </c>
      <c r="D11245" s="4" t="str">
        <f t="shared" si="1644"/>
        <v>12Go Link</v>
      </c>
      <c r="E11245" s="3" t="s">
        <v>9412</v>
      </c>
      <c r="K11245" s="5"/>
    </row>
    <row r="11246">
      <c r="A11246" s="3" t="s">
        <v>9372</v>
      </c>
      <c r="B11246" s="3" t="s">
        <v>9419</v>
      </c>
      <c r="C11246" s="3" t="s">
        <v>9422</v>
      </c>
      <c r="D11246" s="4" t="str">
        <f t="shared" si="1644"/>
        <v>12Go Link</v>
      </c>
      <c r="E11246" s="3" t="s">
        <v>9413</v>
      </c>
      <c r="K11246" s="5"/>
    </row>
    <row r="11247">
      <c r="A11247" s="3" t="s">
        <v>9372</v>
      </c>
      <c r="B11247" s="3" t="s">
        <v>9419</v>
      </c>
      <c r="C11247" s="3" t="s">
        <v>9423</v>
      </c>
      <c r="D11247" s="4" t="str">
        <f t="shared" ref="D11247:D11249" si="1645">HYPERLINK("https://12go.asia/en/travel/190-Xo-Viet-Nghe-Tinh/District-10", "12Go Link")</f>
        <v>12Go Link</v>
      </c>
      <c r="E11247" s="3" t="s">
        <v>9374</v>
      </c>
      <c r="K11247" s="5"/>
    </row>
    <row r="11248">
      <c r="A11248" s="3" t="s">
        <v>9372</v>
      </c>
      <c r="B11248" s="3" t="s">
        <v>9419</v>
      </c>
      <c r="C11248" s="3" t="s">
        <v>9423</v>
      </c>
      <c r="D11248" s="4" t="str">
        <f t="shared" si="1645"/>
        <v>12Go Link</v>
      </c>
      <c r="E11248" s="3" t="s">
        <v>9412</v>
      </c>
      <c r="K11248" s="5"/>
    </row>
    <row r="11249">
      <c r="A11249" s="3" t="s">
        <v>9372</v>
      </c>
      <c r="B11249" s="3" t="s">
        <v>9419</v>
      </c>
      <c r="C11249" s="3" t="s">
        <v>9423</v>
      </c>
      <c r="D11249" s="4" t="str">
        <f t="shared" si="1645"/>
        <v>12Go Link</v>
      </c>
      <c r="E11249" s="3" t="s">
        <v>9413</v>
      </c>
      <c r="K11249" s="5"/>
    </row>
    <row r="11250">
      <c r="A11250" s="3" t="s">
        <v>9372</v>
      </c>
      <c r="B11250" s="3" t="s">
        <v>9419</v>
      </c>
      <c r="C11250" s="3" t="s">
        <v>9424</v>
      </c>
      <c r="D11250" s="4" t="str">
        <f t="shared" ref="D11250:D11253" si="1646">HYPERLINK("https://12go.asia/en/travel/190-Xo-Viet-Nghe-Tinh/District-5", "12Go Link")</f>
        <v>12Go Link</v>
      </c>
      <c r="E11250" s="3" t="s">
        <v>9374</v>
      </c>
      <c r="K11250" s="5"/>
    </row>
    <row r="11251">
      <c r="A11251" s="3" t="s">
        <v>9372</v>
      </c>
      <c r="B11251" s="3" t="s">
        <v>9419</v>
      </c>
      <c r="C11251" s="3" t="s">
        <v>9424</v>
      </c>
      <c r="D11251" s="4" t="str">
        <f t="shared" si="1646"/>
        <v>12Go Link</v>
      </c>
      <c r="E11251" s="3" t="s">
        <v>316</v>
      </c>
      <c r="K11251" s="5"/>
    </row>
    <row r="11252">
      <c r="A11252" s="3" t="s">
        <v>9372</v>
      </c>
      <c r="B11252" s="3" t="s">
        <v>9419</v>
      </c>
      <c r="C11252" s="3" t="s">
        <v>9424</v>
      </c>
      <c r="D11252" s="4" t="str">
        <f t="shared" si="1646"/>
        <v>12Go Link</v>
      </c>
      <c r="E11252" s="3" t="s">
        <v>9412</v>
      </c>
      <c r="K11252" s="5"/>
    </row>
    <row r="11253">
      <c r="A11253" s="3" t="s">
        <v>9372</v>
      </c>
      <c r="B11253" s="3" t="s">
        <v>9419</v>
      </c>
      <c r="C11253" s="3" t="s">
        <v>9424</v>
      </c>
      <c r="D11253" s="4" t="str">
        <f t="shared" si="1646"/>
        <v>12Go Link</v>
      </c>
      <c r="E11253" s="3" t="s">
        <v>9413</v>
      </c>
      <c r="K11253" s="5"/>
    </row>
    <row r="11254">
      <c r="A11254" s="3" t="s">
        <v>9372</v>
      </c>
      <c r="B11254" s="3" t="s">
        <v>9419</v>
      </c>
      <c r="C11254" s="3" t="s">
        <v>9425</v>
      </c>
      <c r="D11254" s="4" t="str">
        <f t="shared" ref="D11254:D11257" si="1647">HYPERLINK("https://12go.asia/en/travel/190-Xo-Viet-Nghe-Tinh/Suoi-Tien", "12Go Link")</f>
        <v>12Go Link</v>
      </c>
      <c r="E11254" s="3" t="s">
        <v>9374</v>
      </c>
      <c r="K11254" s="5"/>
    </row>
    <row r="11255">
      <c r="A11255" s="3" t="s">
        <v>9372</v>
      </c>
      <c r="B11255" s="3" t="s">
        <v>9419</v>
      </c>
      <c r="C11255" s="3" t="s">
        <v>9425</v>
      </c>
      <c r="D11255" s="4" t="str">
        <f t="shared" si="1647"/>
        <v>12Go Link</v>
      </c>
      <c r="E11255" s="3" t="s">
        <v>316</v>
      </c>
      <c r="K11255" s="5"/>
    </row>
    <row r="11256">
      <c r="A11256" s="3" t="s">
        <v>9372</v>
      </c>
      <c r="B11256" s="3" t="s">
        <v>9419</v>
      </c>
      <c r="C11256" s="3" t="s">
        <v>9425</v>
      </c>
      <c r="D11256" s="4" t="str">
        <f t="shared" si="1647"/>
        <v>12Go Link</v>
      </c>
      <c r="E11256" s="3" t="s">
        <v>9412</v>
      </c>
      <c r="K11256" s="5"/>
    </row>
    <row r="11257">
      <c r="A11257" s="3" t="s">
        <v>9372</v>
      </c>
      <c r="B11257" s="3" t="s">
        <v>9419</v>
      </c>
      <c r="C11257" s="3" t="s">
        <v>9425</v>
      </c>
      <c r="D11257" s="4" t="str">
        <f t="shared" si="1647"/>
        <v>12Go Link</v>
      </c>
      <c r="E11257" s="3" t="s">
        <v>9413</v>
      </c>
      <c r="K11257" s="5"/>
    </row>
    <row r="11258">
      <c r="A11258" s="3" t="s">
        <v>9372</v>
      </c>
      <c r="B11258" s="3" t="s">
        <v>9419</v>
      </c>
      <c r="C11258" s="3" t="s">
        <v>9426</v>
      </c>
      <c r="D11258" s="4" t="str">
        <f t="shared" ref="D11258:D11261" si="1648">HYPERLINK("https://12go.asia/en/travel/190-Xo-Viet-Nghe-Tinh/Tan-Binh", "12Go Link")</f>
        <v>12Go Link</v>
      </c>
      <c r="E11258" s="3" t="s">
        <v>9374</v>
      </c>
      <c r="K11258" s="5"/>
    </row>
    <row r="11259">
      <c r="A11259" s="3" t="s">
        <v>9372</v>
      </c>
      <c r="B11259" s="3" t="s">
        <v>9419</v>
      </c>
      <c r="C11259" s="3" t="s">
        <v>9426</v>
      </c>
      <c r="D11259" s="4" t="str">
        <f t="shared" si="1648"/>
        <v>12Go Link</v>
      </c>
      <c r="E11259" s="3" t="s">
        <v>316</v>
      </c>
      <c r="K11259" s="5"/>
    </row>
    <row r="11260">
      <c r="A11260" s="3" t="s">
        <v>9372</v>
      </c>
      <c r="B11260" s="3" t="s">
        <v>9419</v>
      </c>
      <c r="C11260" s="3" t="s">
        <v>9426</v>
      </c>
      <c r="D11260" s="4" t="str">
        <f t="shared" si="1648"/>
        <v>12Go Link</v>
      </c>
      <c r="E11260" s="3" t="s">
        <v>9412</v>
      </c>
      <c r="K11260" s="5"/>
    </row>
    <row r="11261">
      <c r="A11261" s="3" t="s">
        <v>9372</v>
      </c>
      <c r="B11261" s="3" t="s">
        <v>9419</v>
      </c>
      <c r="C11261" s="3" t="s">
        <v>9426</v>
      </c>
      <c r="D11261" s="4" t="str">
        <f t="shared" si="1648"/>
        <v>12Go Link</v>
      </c>
      <c r="E11261" s="3" t="s">
        <v>9413</v>
      </c>
      <c r="K11261" s="5"/>
    </row>
    <row r="11262">
      <c r="A11262" s="3" t="s">
        <v>9372</v>
      </c>
      <c r="B11262" s="3" t="s">
        <v>9419</v>
      </c>
      <c r="C11262" s="3" t="s">
        <v>9427</v>
      </c>
      <c r="D11262" s="4" t="str">
        <f>HYPERLINK("https://12go.asia/en/travel/Da-Lat/Ho-Chi-Minh", "12Go Link")</f>
        <v>12Go Link</v>
      </c>
      <c r="E11262" s="3" t="s">
        <v>9428</v>
      </c>
      <c r="K11262" s="5"/>
    </row>
    <row r="11263">
      <c r="A11263" s="3" t="s">
        <v>9372</v>
      </c>
      <c r="B11263" s="3" t="s">
        <v>9419</v>
      </c>
      <c r="C11263" s="3" t="s">
        <v>9429</v>
      </c>
      <c r="D11263" s="4" t="str">
        <f>HYPERLINK("https://12go.asia/en/travel/Da-Lat-Bus-Station/147-Le-Hong-Phong", "12Go Link")</f>
        <v>12Go Link</v>
      </c>
      <c r="E11263" s="3" t="s">
        <v>9415</v>
      </c>
      <c r="K11263" s="5"/>
    </row>
    <row r="11264">
      <c r="A11264" s="3" t="s">
        <v>9372</v>
      </c>
      <c r="B11264" s="3" t="s">
        <v>9419</v>
      </c>
      <c r="C11264" s="3" t="s">
        <v>9430</v>
      </c>
      <c r="D11264" s="4" t="str">
        <f>HYPERLINK("https://12go.asia/en/travel/Da-Lat-Bus-Station/Mien-Tay-Office", "12Go Link")</f>
        <v>12Go Link</v>
      </c>
      <c r="E11264" s="3" t="s">
        <v>9415</v>
      </c>
      <c r="K11264" s="5"/>
    </row>
    <row r="11265">
      <c r="A11265" s="3" t="s">
        <v>9372</v>
      </c>
      <c r="B11265" s="3" t="s">
        <v>9419</v>
      </c>
      <c r="C11265" s="3" t="s">
        <v>9431</v>
      </c>
      <c r="D11265" s="4" t="str">
        <f t="shared" ref="D11265:D11268" si="1649">HYPERLINK("https://12go.asia/en/travel/Pham-Hong-Thai-Street/144-Nguyen-Van-Luong", "12Go Link")</f>
        <v>12Go Link</v>
      </c>
      <c r="E11265" s="3" t="s">
        <v>9374</v>
      </c>
      <c r="K11265" s="5"/>
    </row>
    <row r="11266">
      <c r="A11266" s="3" t="s">
        <v>9372</v>
      </c>
      <c r="B11266" s="3" t="s">
        <v>9419</v>
      </c>
      <c r="C11266" s="3" t="s">
        <v>9431</v>
      </c>
      <c r="D11266" s="4" t="str">
        <f t="shared" si="1649"/>
        <v>12Go Link</v>
      </c>
      <c r="E11266" s="3" t="s">
        <v>316</v>
      </c>
      <c r="K11266" s="5"/>
    </row>
    <row r="11267">
      <c r="A11267" s="3" t="s">
        <v>9372</v>
      </c>
      <c r="B11267" s="3" t="s">
        <v>9419</v>
      </c>
      <c r="C11267" s="3" t="s">
        <v>9431</v>
      </c>
      <c r="D11267" s="4" t="str">
        <f t="shared" si="1649"/>
        <v>12Go Link</v>
      </c>
      <c r="E11267" s="3" t="s">
        <v>9412</v>
      </c>
      <c r="K11267" s="5"/>
    </row>
    <row r="11268">
      <c r="A11268" s="3" t="s">
        <v>9372</v>
      </c>
      <c r="B11268" s="3" t="s">
        <v>9419</v>
      </c>
      <c r="C11268" s="3" t="s">
        <v>9431</v>
      </c>
      <c r="D11268" s="4" t="str">
        <f t="shared" si="1649"/>
        <v>12Go Link</v>
      </c>
      <c r="E11268" s="3" t="s">
        <v>9413</v>
      </c>
      <c r="K11268" s="5"/>
    </row>
    <row r="11269">
      <c r="A11269" s="3" t="s">
        <v>9372</v>
      </c>
      <c r="B11269" s="3" t="s">
        <v>9419</v>
      </c>
      <c r="C11269" s="3" t="s">
        <v>9432</v>
      </c>
      <c r="D11269" s="4" t="str">
        <f t="shared" ref="D11269:D11272" si="1650">HYPERLINK("https://12go.asia/en/travel/Pham-Hong-Thai-Street/Binh-Phuoc-intersection", "12Go Link")</f>
        <v>12Go Link</v>
      </c>
      <c r="E11269" s="3" t="s">
        <v>9374</v>
      </c>
      <c r="K11269" s="5"/>
    </row>
    <row r="11270">
      <c r="A11270" s="3" t="s">
        <v>9372</v>
      </c>
      <c r="B11270" s="3" t="s">
        <v>9419</v>
      </c>
      <c r="C11270" s="3" t="s">
        <v>9432</v>
      </c>
      <c r="D11270" s="4" t="str">
        <f t="shared" si="1650"/>
        <v>12Go Link</v>
      </c>
      <c r="E11270" s="3" t="s">
        <v>316</v>
      </c>
      <c r="K11270" s="5"/>
    </row>
    <row r="11271">
      <c r="A11271" s="3" t="s">
        <v>9372</v>
      </c>
      <c r="B11271" s="3" t="s">
        <v>9419</v>
      </c>
      <c r="C11271" s="3" t="s">
        <v>9432</v>
      </c>
      <c r="D11271" s="4" t="str">
        <f t="shared" si="1650"/>
        <v>12Go Link</v>
      </c>
      <c r="E11271" s="3" t="s">
        <v>9412</v>
      </c>
      <c r="K11271" s="5"/>
    </row>
    <row r="11272">
      <c r="A11272" s="3" t="s">
        <v>9372</v>
      </c>
      <c r="B11272" s="3" t="s">
        <v>9419</v>
      </c>
      <c r="C11272" s="3" t="s">
        <v>9432</v>
      </c>
      <c r="D11272" s="4" t="str">
        <f t="shared" si="1650"/>
        <v>12Go Link</v>
      </c>
      <c r="E11272" s="3" t="s">
        <v>9413</v>
      </c>
      <c r="K11272" s="5"/>
    </row>
    <row r="11273">
      <c r="A11273" s="3" t="s">
        <v>9372</v>
      </c>
      <c r="B11273" s="3" t="s">
        <v>9419</v>
      </c>
      <c r="C11273" s="3" t="s">
        <v>9433</v>
      </c>
      <c r="D11273" s="4" t="str">
        <f t="shared" ref="D11273:D11276" si="1651">HYPERLINK("https://12go.asia/en/travel/Pham-Hong-Thai-Street/Binh-Thanh", "12Go Link")</f>
        <v>12Go Link</v>
      </c>
      <c r="E11273" s="3" t="s">
        <v>9374</v>
      </c>
      <c r="K11273" s="5"/>
    </row>
    <row r="11274">
      <c r="A11274" s="3" t="s">
        <v>9372</v>
      </c>
      <c r="B11274" s="3" t="s">
        <v>9419</v>
      </c>
      <c r="C11274" s="3" t="s">
        <v>9433</v>
      </c>
      <c r="D11274" s="4" t="str">
        <f t="shared" si="1651"/>
        <v>12Go Link</v>
      </c>
      <c r="E11274" s="3" t="s">
        <v>316</v>
      </c>
      <c r="K11274" s="5"/>
    </row>
    <row r="11275">
      <c r="A11275" s="3" t="s">
        <v>9372</v>
      </c>
      <c r="B11275" s="3" t="s">
        <v>9419</v>
      </c>
      <c r="C11275" s="3" t="s">
        <v>9433</v>
      </c>
      <c r="D11275" s="4" t="str">
        <f t="shared" si="1651"/>
        <v>12Go Link</v>
      </c>
      <c r="E11275" s="3" t="s">
        <v>9412</v>
      </c>
      <c r="K11275" s="5"/>
    </row>
    <row r="11276">
      <c r="A11276" s="3" t="s">
        <v>9372</v>
      </c>
      <c r="B11276" s="3" t="s">
        <v>9419</v>
      </c>
      <c r="C11276" s="3" t="s">
        <v>9433</v>
      </c>
      <c r="D11276" s="4" t="str">
        <f t="shared" si="1651"/>
        <v>12Go Link</v>
      </c>
      <c r="E11276" s="3" t="s">
        <v>9413</v>
      </c>
      <c r="K11276" s="5"/>
    </row>
    <row r="11277">
      <c r="A11277" s="3" t="s">
        <v>9372</v>
      </c>
      <c r="B11277" s="3" t="s">
        <v>9419</v>
      </c>
      <c r="C11277" s="3" t="s">
        <v>9434</v>
      </c>
      <c r="D11277" s="4" t="str">
        <f t="shared" ref="D11277:D11279" si="1652">HYPERLINK("https://12go.asia/en/travel/Pham-Hong-Thai-Street/District-10", "12Go Link")</f>
        <v>12Go Link</v>
      </c>
      <c r="E11277" s="3" t="s">
        <v>9374</v>
      </c>
      <c r="K11277" s="5"/>
    </row>
    <row r="11278">
      <c r="A11278" s="3" t="s">
        <v>9372</v>
      </c>
      <c r="B11278" s="3" t="s">
        <v>9419</v>
      </c>
      <c r="C11278" s="3" t="s">
        <v>9434</v>
      </c>
      <c r="D11278" s="4" t="str">
        <f t="shared" si="1652"/>
        <v>12Go Link</v>
      </c>
      <c r="E11278" s="3" t="s">
        <v>9412</v>
      </c>
      <c r="K11278" s="5"/>
    </row>
    <row r="11279">
      <c r="A11279" s="3" t="s">
        <v>9372</v>
      </c>
      <c r="B11279" s="3" t="s">
        <v>9419</v>
      </c>
      <c r="C11279" s="3" t="s">
        <v>9434</v>
      </c>
      <c r="D11279" s="4" t="str">
        <f t="shared" si="1652"/>
        <v>12Go Link</v>
      </c>
      <c r="E11279" s="3" t="s">
        <v>9413</v>
      </c>
      <c r="K11279" s="5"/>
    </row>
    <row r="11280">
      <c r="A11280" s="3" t="s">
        <v>9372</v>
      </c>
      <c r="B11280" s="3" t="s">
        <v>9419</v>
      </c>
      <c r="C11280" s="3" t="s">
        <v>9435</v>
      </c>
      <c r="D11280" s="4" t="str">
        <f t="shared" ref="D11280:D11283" si="1653">HYPERLINK("https://12go.asia/en/travel/Pham-Hong-Thai-Street/District-5", "12Go Link")</f>
        <v>12Go Link</v>
      </c>
      <c r="E11280" s="3" t="s">
        <v>9374</v>
      </c>
      <c r="K11280" s="5"/>
    </row>
    <row r="11281">
      <c r="A11281" s="3" t="s">
        <v>9372</v>
      </c>
      <c r="B11281" s="3" t="s">
        <v>9419</v>
      </c>
      <c r="C11281" s="3" t="s">
        <v>9435</v>
      </c>
      <c r="D11281" s="4" t="str">
        <f t="shared" si="1653"/>
        <v>12Go Link</v>
      </c>
      <c r="E11281" s="3" t="s">
        <v>316</v>
      </c>
      <c r="K11281" s="5"/>
    </row>
    <row r="11282">
      <c r="A11282" s="3" t="s">
        <v>9372</v>
      </c>
      <c r="B11282" s="3" t="s">
        <v>9419</v>
      </c>
      <c r="C11282" s="3" t="s">
        <v>9435</v>
      </c>
      <c r="D11282" s="4" t="str">
        <f t="shared" si="1653"/>
        <v>12Go Link</v>
      </c>
      <c r="E11282" s="3" t="s">
        <v>9412</v>
      </c>
      <c r="K11282" s="5"/>
    </row>
    <row r="11283">
      <c r="A11283" s="3" t="s">
        <v>9372</v>
      </c>
      <c r="B11283" s="3" t="s">
        <v>9419</v>
      </c>
      <c r="C11283" s="3" t="s">
        <v>9435</v>
      </c>
      <c r="D11283" s="4" t="str">
        <f t="shared" si="1653"/>
        <v>12Go Link</v>
      </c>
      <c r="E11283" s="3" t="s">
        <v>9413</v>
      </c>
      <c r="K11283" s="5"/>
    </row>
    <row r="11284">
      <c r="A11284" s="3" t="s">
        <v>9372</v>
      </c>
      <c r="B11284" s="3" t="s">
        <v>9419</v>
      </c>
      <c r="C11284" s="3" t="s">
        <v>9436</v>
      </c>
      <c r="D11284" s="4" t="str">
        <f t="shared" ref="D11284:D11287" si="1654">HYPERLINK("https://12go.asia/en/travel/Pham-Hong-Thai-Street/Suoi-Tien", "12Go Link")</f>
        <v>12Go Link</v>
      </c>
      <c r="E11284" s="3" t="s">
        <v>9374</v>
      </c>
      <c r="K11284" s="5"/>
    </row>
    <row r="11285">
      <c r="A11285" s="3" t="s">
        <v>9372</v>
      </c>
      <c r="B11285" s="3" t="s">
        <v>9419</v>
      </c>
      <c r="C11285" s="3" t="s">
        <v>9436</v>
      </c>
      <c r="D11285" s="4" t="str">
        <f t="shared" si="1654"/>
        <v>12Go Link</v>
      </c>
      <c r="E11285" s="3" t="s">
        <v>316</v>
      </c>
      <c r="K11285" s="5"/>
    </row>
    <row r="11286">
      <c r="A11286" s="3" t="s">
        <v>9372</v>
      </c>
      <c r="B11286" s="3" t="s">
        <v>9419</v>
      </c>
      <c r="C11286" s="3" t="s">
        <v>9436</v>
      </c>
      <c r="D11286" s="4" t="str">
        <f t="shared" si="1654"/>
        <v>12Go Link</v>
      </c>
      <c r="E11286" s="3" t="s">
        <v>9412</v>
      </c>
      <c r="K11286" s="5"/>
    </row>
    <row r="11287">
      <c r="A11287" s="3" t="s">
        <v>9372</v>
      </c>
      <c r="B11287" s="3" t="s">
        <v>9419</v>
      </c>
      <c r="C11287" s="3" t="s">
        <v>9436</v>
      </c>
      <c r="D11287" s="4" t="str">
        <f t="shared" si="1654"/>
        <v>12Go Link</v>
      </c>
      <c r="E11287" s="3" t="s">
        <v>9413</v>
      </c>
      <c r="K11287" s="5"/>
    </row>
    <row r="11288">
      <c r="A11288" s="3" t="s">
        <v>9372</v>
      </c>
      <c r="B11288" s="3" t="s">
        <v>9419</v>
      </c>
      <c r="C11288" s="3" t="s">
        <v>9437</v>
      </c>
      <c r="D11288" s="4" t="str">
        <f t="shared" ref="D11288:D11291" si="1655">HYPERLINK("https://12go.asia/en/travel/Pham-Hong-Thai-Street/Tan-Binh", "12Go Link")</f>
        <v>12Go Link</v>
      </c>
      <c r="E11288" s="3" t="s">
        <v>9374</v>
      </c>
      <c r="K11288" s="5"/>
    </row>
    <row r="11289">
      <c r="A11289" s="3" t="s">
        <v>9372</v>
      </c>
      <c r="B11289" s="3" t="s">
        <v>9419</v>
      </c>
      <c r="C11289" s="3" t="s">
        <v>9437</v>
      </c>
      <c r="D11289" s="4" t="str">
        <f t="shared" si="1655"/>
        <v>12Go Link</v>
      </c>
      <c r="E11289" s="3" t="s">
        <v>316</v>
      </c>
      <c r="K11289" s="5"/>
    </row>
    <row r="11290">
      <c r="A11290" s="3" t="s">
        <v>9372</v>
      </c>
      <c r="B11290" s="3" t="s">
        <v>9419</v>
      </c>
      <c r="C11290" s="3" t="s">
        <v>9437</v>
      </c>
      <c r="D11290" s="4" t="str">
        <f t="shared" si="1655"/>
        <v>12Go Link</v>
      </c>
      <c r="E11290" s="3" t="s">
        <v>9412</v>
      </c>
      <c r="K11290" s="5"/>
    </row>
    <row r="11291">
      <c r="A11291" s="3" t="s">
        <v>9372</v>
      </c>
      <c r="B11291" s="3" t="s">
        <v>9419</v>
      </c>
      <c r="C11291" s="3" t="s">
        <v>9437</v>
      </c>
      <c r="D11291" s="4" t="str">
        <f t="shared" si="1655"/>
        <v>12Go Link</v>
      </c>
      <c r="E11291" s="3" t="s">
        <v>9413</v>
      </c>
      <c r="K11291" s="5"/>
    </row>
    <row r="11292">
      <c r="A11292" s="3" t="s">
        <v>9372</v>
      </c>
      <c r="B11292" s="3" t="s">
        <v>9419</v>
      </c>
      <c r="C11292" s="3" t="s">
        <v>9438</v>
      </c>
      <c r="D11292" s="4" t="str">
        <f>HYPERLINK("https://12go.asia/en/travel/Tram-Hanh-Cau-Dat/144-Nguyen-Van-Luong", "12Go Link")</f>
        <v>12Go Link</v>
      </c>
      <c r="E11292" s="3" t="s">
        <v>9374</v>
      </c>
      <c r="K11292" s="5"/>
    </row>
    <row r="11293">
      <c r="A11293" s="3" t="s">
        <v>9372</v>
      </c>
      <c r="B11293" s="3" t="s">
        <v>9419</v>
      </c>
      <c r="C11293" s="3" t="s">
        <v>9439</v>
      </c>
      <c r="D11293" s="4" t="str">
        <f>HYPERLINK("https://12go.asia/en/travel/Tram-Hanh-Cau-Dat/Binh-Phuoc-intersection", "12Go Link")</f>
        <v>12Go Link</v>
      </c>
      <c r="E11293" s="3" t="s">
        <v>9374</v>
      </c>
      <c r="K11293" s="5"/>
    </row>
    <row r="11294">
      <c r="A11294" s="3" t="s">
        <v>9372</v>
      </c>
      <c r="B11294" s="3" t="s">
        <v>9419</v>
      </c>
      <c r="C11294" s="3" t="s">
        <v>9440</v>
      </c>
      <c r="D11294" s="4" t="str">
        <f>HYPERLINK("https://12go.asia/en/travel/Tram-Hanh-Cau-Dat/Binh-Thanh", "12Go Link")</f>
        <v>12Go Link</v>
      </c>
      <c r="E11294" s="3" t="s">
        <v>9374</v>
      </c>
      <c r="K11294" s="5"/>
    </row>
    <row r="11295">
      <c r="A11295" s="3" t="s">
        <v>9372</v>
      </c>
      <c r="B11295" s="3" t="s">
        <v>9419</v>
      </c>
      <c r="C11295" s="3" t="s">
        <v>9441</v>
      </c>
      <c r="D11295" s="4" t="str">
        <f>HYPERLINK("https://12go.asia/en/travel/Tram-Hanh-Cau-Dat/District-10", "12Go Link")</f>
        <v>12Go Link</v>
      </c>
      <c r="E11295" s="3" t="s">
        <v>9374</v>
      </c>
      <c r="K11295" s="5"/>
    </row>
    <row r="11296">
      <c r="A11296" s="3" t="s">
        <v>9372</v>
      </c>
      <c r="B11296" s="3" t="s">
        <v>9419</v>
      </c>
      <c r="C11296" s="3" t="s">
        <v>9442</v>
      </c>
      <c r="D11296" s="4" t="str">
        <f>HYPERLINK("https://12go.asia/en/travel/Tram-Hanh-Cau-Dat/District-5", "12Go Link")</f>
        <v>12Go Link</v>
      </c>
      <c r="E11296" s="3" t="s">
        <v>9374</v>
      </c>
      <c r="K11296" s="5"/>
    </row>
    <row r="11297">
      <c r="A11297" s="3" t="s">
        <v>9372</v>
      </c>
      <c r="B11297" s="3" t="s">
        <v>9419</v>
      </c>
      <c r="C11297" s="3" t="s">
        <v>9443</v>
      </c>
      <c r="D11297" s="4" t="str">
        <f>HYPERLINK("https://12go.asia/en/travel/Tram-Hanh-Cau-Dat/Suoi-Tien", "12Go Link")</f>
        <v>12Go Link</v>
      </c>
      <c r="E11297" s="3" t="s">
        <v>9374</v>
      </c>
      <c r="K11297" s="5"/>
    </row>
    <row r="11298">
      <c r="A11298" s="3" t="s">
        <v>9372</v>
      </c>
      <c r="B11298" s="3" t="s">
        <v>9419</v>
      </c>
      <c r="C11298" s="3" t="s">
        <v>9444</v>
      </c>
      <c r="D11298" s="4" t="str">
        <f>HYPERLINK("https://12go.asia/en/travel/Tram-Hanh-Cau-Dat/Tan-Binh", "12Go Link")</f>
        <v>12Go Link</v>
      </c>
      <c r="E11298" s="3" t="s">
        <v>9374</v>
      </c>
      <c r="K11298" s="5"/>
    </row>
    <row r="11299">
      <c r="A11299" s="3" t="s">
        <v>9372</v>
      </c>
      <c r="B11299" s="3" t="s">
        <v>9397</v>
      </c>
      <c r="C11299" s="3" t="s">
        <v>9445</v>
      </c>
      <c r="D11299" s="4" t="str">
        <f t="shared" ref="D11299:D11303" si="1656">HYPERLINK("https://12go.asia/en/travel/Lien-Khuong-Airport-DLI/Nha-Trang", "12Go Link")</f>
        <v>12Go Link</v>
      </c>
      <c r="E11299" s="3" t="s">
        <v>222</v>
      </c>
      <c r="K11299" s="5"/>
    </row>
    <row r="11300">
      <c r="A11300" s="3" t="s">
        <v>9372</v>
      </c>
      <c r="B11300" s="3" t="s">
        <v>9397</v>
      </c>
      <c r="C11300" s="3" t="s">
        <v>9445</v>
      </c>
      <c r="D11300" s="4" t="str">
        <f t="shared" si="1656"/>
        <v>12Go Link</v>
      </c>
      <c r="E11300" s="3" t="s">
        <v>6599</v>
      </c>
      <c r="K11300" s="5"/>
    </row>
    <row r="11301">
      <c r="A11301" s="3" t="s">
        <v>9372</v>
      </c>
      <c r="B11301" s="3" t="s">
        <v>9397</v>
      </c>
      <c r="C11301" s="3" t="s">
        <v>9445</v>
      </c>
      <c r="D11301" s="4" t="str">
        <f t="shared" si="1656"/>
        <v>12Go Link</v>
      </c>
      <c r="E11301" s="3" t="s">
        <v>9395</v>
      </c>
      <c r="K11301" s="5"/>
    </row>
    <row r="11302">
      <c r="A11302" s="3" t="s">
        <v>9372</v>
      </c>
      <c r="B11302" s="3" t="s">
        <v>9397</v>
      </c>
      <c r="C11302" s="3" t="s">
        <v>9445</v>
      </c>
      <c r="D11302" s="4" t="str">
        <f t="shared" si="1656"/>
        <v>12Go Link</v>
      </c>
      <c r="E11302" s="3" t="s">
        <v>9396</v>
      </c>
      <c r="K11302" s="5"/>
    </row>
    <row r="11303">
      <c r="A11303" s="3" t="s">
        <v>9372</v>
      </c>
      <c r="B11303" s="3" t="s">
        <v>9397</v>
      </c>
      <c r="C11303" s="3" t="s">
        <v>9445</v>
      </c>
      <c r="D11303" s="4" t="str">
        <f t="shared" si="1656"/>
        <v>12Go Link</v>
      </c>
      <c r="E11303" s="3" t="s">
        <v>7470</v>
      </c>
      <c r="K11303" s="5"/>
    </row>
    <row r="11304">
      <c r="A11304" s="3" t="s">
        <v>9372</v>
      </c>
      <c r="B11304" s="3" t="s">
        <v>9399</v>
      </c>
      <c r="C11304" s="3" t="s">
        <v>9446</v>
      </c>
      <c r="D11304" s="4" t="str">
        <f t="shared" ref="D11304:D11308" si="1657">HYPERLINK("https://12go.asia/en/travel/Lien-Khuong-Airport-DLI/Phan-Rang", "12Go Link")</f>
        <v>12Go Link</v>
      </c>
      <c r="E11304" s="3" t="s">
        <v>222</v>
      </c>
      <c r="K11304" s="5"/>
    </row>
    <row r="11305">
      <c r="A11305" s="3" t="s">
        <v>9372</v>
      </c>
      <c r="B11305" s="3" t="s">
        <v>9399</v>
      </c>
      <c r="C11305" s="3" t="s">
        <v>9446</v>
      </c>
      <c r="D11305" s="4" t="str">
        <f t="shared" si="1657"/>
        <v>12Go Link</v>
      </c>
      <c r="E11305" s="3" t="s">
        <v>6599</v>
      </c>
      <c r="K11305" s="5"/>
    </row>
    <row r="11306">
      <c r="A11306" s="3" t="s">
        <v>9372</v>
      </c>
      <c r="B11306" s="3" t="s">
        <v>9399</v>
      </c>
      <c r="C11306" s="3" t="s">
        <v>9446</v>
      </c>
      <c r="D11306" s="4" t="str">
        <f t="shared" si="1657"/>
        <v>12Go Link</v>
      </c>
      <c r="E11306" s="3" t="s">
        <v>9395</v>
      </c>
      <c r="K11306" s="5"/>
    </row>
    <row r="11307">
      <c r="A11307" s="3" t="s">
        <v>9372</v>
      </c>
      <c r="B11307" s="3" t="s">
        <v>9399</v>
      </c>
      <c r="C11307" s="3" t="s">
        <v>9446</v>
      </c>
      <c r="D11307" s="4" t="str">
        <f t="shared" si="1657"/>
        <v>12Go Link</v>
      </c>
      <c r="E11307" s="3" t="s">
        <v>9396</v>
      </c>
      <c r="K11307" s="5"/>
    </row>
    <row r="11308">
      <c r="A11308" s="3" t="s">
        <v>9372</v>
      </c>
      <c r="B11308" s="3" t="s">
        <v>9399</v>
      </c>
      <c r="C11308" s="3" t="s">
        <v>9446</v>
      </c>
      <c r="D11308" s="4" t="str">
        <f t="shared" si="1657"/>
        <v>12Go Link</v>
      </c>
      <c r="E11308" s="3" t="s">
        <v>7470</v>
      </c>
      <c r="K11308" s="5"/>
    </row>
    <row r="11309">
      <c r="A11309" s="3" t="s">
        <v>9447</v>
      </c>
      <c r="B11309" s="3" t="s">
        <v>9372</v>
      </c>
      <c r="C11309" s="3" t="s">
        <v>9448</v>
      </c>
      <c r="D11309" s="4" t="str">
        <f t="shared" ref="D11309:D11310" si="1658">HYPERLINK("https://12go.asia/en/travel/90-Hoang-Thi-Loan/Da-Lat-Bus-Station", "12Go Link")</f>
        <v>12Go Link</v>
      </c>
      <c r="E11309" s="3" t="s">
        <v>9449</v>
      </c>
      <c r="K11309" s="5"/>
    </row>
    <row r="11310">
      <c r="A11310" s="3" t="s">
        <v>9447</v>
      </c>
      <c r="B11310" s="3" t="s">
        <v>9372</v>
      </c>
      <c r="C11310" s="3" t="s">
        <v>9448</v>
      </c>
      <c r="D11310" s="4" t="str">
        <f t="shared" si="1658"/>
        <v>12Go Link</v>
      </c>
      <c r="E11310" s="3" t="s">
        <v>9450</v>
      </c>
      <c r="K11310" s="5"/>
    </row>
    <row r="11311">
      <c r="A11311" s="3" t="s">
        <v>9447</v>
      </c>
      <c r="B11311" s="3" t="s">
        <v>9372</v>
      </c>
      <c r="C11311" s="3" t="s">
        <v>9451</v>
      </c>
      <c r="D11311" s="4" t="str">
        <f>HYPERLINK("https://12go.asia/en/travel/Da-Nang/26-Pham-Ngu-Lao", "12Go Link")</f>
        <v>12Go Link</v>
      </c>
      <c r="E11311" s="3" t="s">
        <v>9450</v>
      </c>
      <c r="K11311" s="5"/>
    </row>
    <row r="11312">
      <c r="A11312" s="3" t="s">
        <v>9447</v>
      </c>
      <c r="B11312" s="3" t="s">
        <v>9447</v>
      </c>
      <c r="C11312" s="3" t="s">
        <v>9452</v>
      </c>
      <c r="D11312" s="4" t="str">
        <f>HYPERLINK("https://12go.asia/en/travel/41-February-3rd-Street/Danava-Travel-16-Road-32", "12Go Link")</f>
        <v>12Go Link</v>
      </c>
      <c r="E11312" s="3" t="s">
        <v>9374</v>
      </c>
      <c r="K11312" s="5"/>
    </row>
    <row r="11313">
      <c r="A11313" s="3" t="s">
        <v>9447</v>
      </c>
      <c r="B11313" s="3" t="s">
        <v>9447</v>
      </c>
      <c r="C11313" s="3" t="s">
        <v>9453</v>
      </c>
      <c r="D11313" s="4" t="str">
        <f t="shared" ref="D11313:D11317" si="1659">HYPERLINK("https://12go.asia/en/travel/Da-Nang-Airport/Ba-Na-Hills", "12Go Link")</f>
        <v>12Go Link</v>
      </c>
      <c r="E11313" s="3" t="s">
        <v>222</v>
      </c>
      <c r="K11313" s="5"/>
    </row>
    <row r="11314">
      <c r="A11314" s="3" t="s">
        <v>9447</v>
      </c>
      <c r="B11314" s="3" t="s">
        <v>9447</v>
      </c>
      <c r="C11314" s="3" t="s">
        <v>9453</v>
      </c>
      <c r="D11314" s="4" t="str">
        <f t="shared" si="1659"/>
        <v>12Go Link</v>
      </c>
      <c r="E11314" s="3" t="s">
        <v>6599</v>
      </c>
      <c r="K11314" s="5"/>
    </row>
    <row r="11315">
      <c r="A11315" s="3" t="s">
        <v>9447</v>
      </c>
      <c r="B11315" s="3" t="s">
        <v>9447</v>
      </c>
      <c r="C11315" s="3" t="s">
        <v>9453</v>
      </c>
      <c r="D11315" s="4" t="str">
        <f t="shared" si="1659"/>
        <v>12Go Link</v>
      </c>
      <c r="E11315" s="3" t="s">
        <v>9395</v>
      </c>
      <c r="K11315" s="5"/>
    </row>
    <row r="11316">
      <c r="A11316" s="3" t="s">
        <v>9447</v>
      </c>
      <c r="B11316" s="3" t="s">
        <v>9447</v>
      </c>
      <c r="C11316" s="3" t="s">
        <v>9453</v>
      </c>
      <c r="D11316" s="4" t="str">
        <f t="shared" si="1659"/>
        <v>12Go Link</v>
      </c>
      <c r="E11316" s="3" t="s">
        <v>9396</v>
      </c>
      <c r="K11316" s="5"/>
    </row>
    <row r="11317">
      <c r="A11317" s="3" t="s">
        <v>9447</v>
      </c>
      <c r="B11317" s="3" t="s">
        <v>9447</v>
      </c>
      <c r="C11317" s="3" t="s">
        <v>9453</v>
      </c>
      <c r="D11317" s="4" t="str">
        <f t="shared" si="1659"/>
        <v>12Go Link</v>
      </c>
      <c r="E11317" s="3" t="s">
        <v>7470</v>
      </c>
      <c r="K11317" s="5"/>
    </row>
    <row r="11318">
      <c r="A11318" s="3" t="s">
        <v>9447</v>
      </c>
      <c r="B11318" s="3" t="s">
        <v>9447</v>
      </c>
      <c r="C11318" s="3" t="s">
        <v>9454</v>
      </c>
      <c r="D11318" s="4" t="str">
        <f t="shared" ref="D11318:D11322" si="1660">HYPERLINK("https://12go.asia/en/travel/Da-Nang-Airport/Danang-City-Center", "12Go Link")</f>
        <v>12Go Link</v>
      </c>
      <c r="E11318" s="3" t="s">
        <v>222</v>
      </c>
      <c r="K11318" s="5"/>
    </row>
    <row r="11319">
      <c r="A11319" s="3" t="s">
        <v>9447</v>
      </c>
      <c r="B11319" s="3" t="s">
        <v>9447</v>
      </c>
      <c r="C11319" s="3" t="s">
        <v>9454</v>
      </c>
      <c r="D11319" s="4" t="str">
        <f t="shared" si="1660"/>
        <v>12Go Link</v>
      </c>
      <c r="E11319" s="3" t="s">
        <v>6599</v>
      </c>
      <c r="K11319" s="5"/>
    </row>
    <row r="11320">
      <c r="A11320" s="3" t="s">
        <v>9447</v>
      </c>
      <c r="B11320" s="3" t="s">
        <v>9447</v>
      </c>
      <c r="C11320" s="3" t="s">
        <v>9454</v>
      </c>
      <c r="D11320" s="4" t="str">
        <f t="shared" si="1660"/>
        <v>12Go Link</v>
      </c>
      <c r="E11320" s="3" t="s">
        <v>9395</v>
      </c>
      <c r="K11320" s="5"/>
    </row>
    <row r="11321">
      <c r="A11321" s="3" t="s">
        <v>9447</v>
      </c>
      <c r="B11321" s="3" t="s">
        <v>9447</v>
      </c>
      <c r="C11321" s="3" t="s">
        <v>9454</v>
      </c>
      <c r="D11321" s="4" t="str">
        <f t="shared" si="1660"/>
        <v>12Go Link</v>
      </c>
      <c r="E11321" s="3" t="s">
        <v>9396</v>
      </c>
      <c r="K11321" s="5"/>
    </row>
    <row r="11322">
      <c r="A11322" s="3" t="s">
        <v>9447</v>
      </c>
      <c r="B11322" s="3" t="s">
        <v>9447</v>
      </c>
      <c r="C11322" s="3" t="s">
        <v>9454</v>
      </c>
      <c r="D11322" s="4" t="str">
        <f t="shared" si="1660"/>
        <v>12Go Link</v>
      </c>
      <c r="E11322" s="3" t="s">
        <v>7470</v>
      </c>
      <c r="K11322" s="5"/>
    </row>
    <row r="11323">
      <c r="A11323" s="3" t="s">
        <v>9447</v>
      </c>
      <c r="B11323" s="3" t="s">
        <v>9447</v>
      </c>
      <c r="C11323" s="3" t="s">
        <v>9455</v>
      </c>
      <c r="D11323" s="4" t="str">
        <f t="shared" ref="D11323:D11324" si="1661">HYPERLINK("https://12go.asia/en/travel/Da-Nang-Bus-Central-Station/255-Le-Thach", "12Go Link")</f>
        <v>12Go Link</v>
      </c>
      <c r="E11323" s="3" t="s">
        <v>9456</v>
      </c>
      <c r="K11323" s="5"/>
    </row>
    <row r="11324">
      <c r="A11324" s="3" t="s">
        <v>9447</v>
      </c>
      <c r="B11324" s="3" t="s">
        <v>9447</v>
      </c>
      <c r="C11324" s="3" t="s">
        <v>9455</v>
      </c>
      <c r="D11324" s="4" t="str">
        <f t="shared" si="1661"/>
        <v>12Go Link</v>
      </c>
      <c r="E11324" s="3" t="s">
        <v>9412</v>
      </c>
      <c r="K11324" s="5"/>
    </row>
    <row r="11325">
      <c r="A11325" s="3" t="s">
        <v>9447</v>
      </c>
      <c r="B11325" s="3" t="s">
        <v>9447</v>
      </c>
      <c r="C11325" s="3" t="s">
        <v>9457</v>
      </c>
      <c r="D11325" s="4" t="str">
        <f t="shared" ref="D11325:D11327" si="1662">HYPERLINK("https://12go.asia/en/travel/Danang-Airport/Ba-Na-Hills", "12Go Link")</f>
        <v>12Go Link</v>
      </c>
      <c r="E11325" s="3" t="s">
        <v>3196</v>
      </c>
      <c r="K11325" s="5"/>
    </row>
    <row r="11326">
      <c r="A11326" s="3" t="s">
        <v>9447</v>
      </c>
      <c r="B11326" s="3" t="s">
        <v>9447</v>
      </c>
      <c r="C11326" s="3" t="s">
        <v>9457</v>
      </c>
      <c r="D11326" s="4" t="str">
        <f t="shared" si="1662"/>
        <v>12Go Link</v>
      </c>
      <c r="E11326" s="3" t="s">
        <v>6599</v>
      </c>
      <c r="K11326" s="5"/>
    </row>
    <row r="11327">
      <c r="A11327" s="3" t="s">
        <v>9447</v>
      </c>
      <c r="B11327" s="3" t="s">
        <v>9447</v>
      </c>
      <c r="C11327" s="3" t="s">
        <v>9457</v>
      </c>
      <c r="D11327" s="4" t="str">
        <f t="shared" si="1662"/>
        <v>12Go Link</v>
      </c>
      <c r="E11327" s="3" t="s">
        <v>3197</v>
      </c>
      <c r="K11327" s="5"/>
    </row>
    <row r="11328">
      <c r="A11328" s="3" t="s">
        <v>9447</v>
      </c>
      <c r="B11328" s="3" t="s">
        <v>9447</v>
      </c>
      <c r="C11328" s="3" t="s">
        <v>9458</v>
      </c>
      <c r="D11328" s="4" t="str">
        <f t="shared" ref="D11328:D11330" si="1663">HYPERLINK("https://12go.asia/en/travel/Danang-Airport/Hai-Chau-District", "12Go Link")</f>
        <v>12Go Link</v>
      </c>
      <c r="E11328" s="3" t="s">
        <v>3196</v>
      </c>
      <c r="K11328" s="5"/>
    </row>
    <row r="11329">
      <c r="A11329" s="3" t="s">
        <v>9447</v>
      </c>
      <c r="B11329" s="3" t="s">
        <v>9447</v>
      </c>
      <c r="C11329" s="3" t="s">
        <v>9458</v>
      </c>
      <c r="D11329" s="4" t="str">
        <f t="shared" si="1663"/>
        <v>12Go Link</v>
      </c>
      <c r="E11329" s="3" t="s">
        <v>6599</v>
      </c>
      <c r="K11329" s="5"/>
    </row>
    <row r="11330">
      <c r="A11330" s="3" t="s">
        <v>9447</v>
      </c>
      <c r="B11330" s="3" t="s">
        <v>9447</v>
      </c>
      <c r="C11330" s="3" t="s">
        <v>9458</v>
      </c>
      <c r="D11330" s="4" t="str">
        <f t="shared" si="1663"/>
        <v>12Go Link</v>
      </c>
      <c r="E11330" s="3" t="s">
        <v>3197</v>
      </c>
      <c r="K11330" s="5"/>
    </row>
    <row r="11331">
      <c r="A11331" s="3" t="s">
        <v>9447</v>
      </c>
      <c r="B11331" s="3" t="s">
        <v>9447</v>
      </c>
      <c r="C11331" s="3" t="s">
        <v>9459</v>
      </c>
      <c r="D11331" s="4" t="str">
        <f t="shared" ref="D11331:D11333" si="1664">HYPERLINK("https://12go.asia/en/travel/Danang-Airport/Hyatt-Regency-Danang-Resort", "12Go Link")</f>
        <v>12Go Link</v>
      </c>
      <c r="E11331" s="3" t="s">
        <v>3196</v>
      </c>
      <c r="K11331" s="5"/>
    </row>
    <row r="11332">
      <c r="A11332" s="3" t="s">
        <v>9447</v>
      </c>
      <c r="B11332" s="3" t="s">
        <v>9447</v>
      </c>
      <c r="C11332" s="3" t="s">
        <v>9459</v>
      </c>
      <c r="D11332" s="4" t="str">
        <f t="shared" si="1664"/>
        <v>12Go Link</v>
      </c>
      <c r="E11332" s="3" t="s">
        <v>6599</v>
      </c>
      <c r="K11332" s="5"/>
    </row>
    <row r="11333">
      <c r="A11333" s="3" t="s">
        <v>9447</v>
      </c>
      <c r="B11333" s="3" t="s">
        <v>9447</v>
      </c>
      <c r="C11333" s="3" t="s">
        <v>9459</v>
      </c>
      <c r="D11333" s="4" t="str">
        <f t="shared" si="1664"/>
        <v>12Go Link</v>
      </c>
      <c r="E11333" s="3" t="s">
        <v>3197</v>
      </c>
      <c r="K11333" s="5"/>
    </row>
    <row r="11334">
      <c r="A11334" s="3" t="s">
        <v>9447</v>
      </c>
      <c r="B11334" s="3" t="s">
        <v>9447</v>
      </c>
      <c r="C11334" s="3" t="s">
        <v>9460</v>
      </c>
      <c r="D11334" s="4" t="str">
        <f t="shared" ref="D11334:D11336" si="1665">HYPERLINK("https://12go.asia/en/travel/Danang-Airport/InterContinental-Danang-Sun-Peninsula-Resort", "12Go Link")</f>
        <v>12Go Link</v>
      </c>
      <c r="E11334" s="3" t="s">
        <v>3196</v>
      </c>
      <c r="K11334" s="5"/>
    </row>
    <row r="11335">
      <c r="A11335" s="3" t="s">
        <v>9447</v>
      </c>
      <c r="B11335" s="3" t="s">
        <v>9447</v>
      </c>
      <c r="C11335" s="3" t="s">
        <v>9460</v>
      </c>
      <c r="D11335" s="4" t="str">
        <f t="shared" si="1665"/>
        <v>12Go Link</v>
      </c>
      <c r="E11335" s="3" t="s">
        <v>6599</v>
      </c>
      <c r="K11335" s="5"/>
    </row>
    <row r="11336">
      <c r="A11336" s="3" t="s">
        <v>9447</v>
      </c>
      <c r="B11336" s="3" t="s">
        <v>9447</v>
      </c>
      <c r="C11336" s="3" t="s">
        <v>9460</v>
      </c>
      <c r="D11336" s="4" t="str">
        <f t="shared" si="1665"/>
        <v>12Go Link</v>
      </c>
      <c r="E11336" s="3" t="s">
        <v>3197</v>
      </c>
      <c r="K11336" s="5"/>
    </row>
    <row r="11337">
      <c r="A11337" s="3" t="s">
        <v>9447</v>
      </c>
      <c r="B11337" s="3" t="s">
        <v>9447</v>
      </c>
      <c r="C11337" s="3" t="s">
        <v>9461</v>
      </c>
      <c r="D11337" s="4" t="str">
        <f t="shared" ref="D11337:D11339" si="1666">HYPERLINK("https://12go.asia/en/travel/Danang-Airport/Mikazuki-Japanese-Resorts", "12Go Link")</f>
        <v>12Go Link</v>
      </c>
      <c r="E11337" s="3" t="s">
        <v>3196</v>
      </c>
      <c r="K11337" s="5"/>
    </row>
    <row r="11338">
      <c r="A11338" s="3" t="s">
        <v>9447</v>
      </c>
      <c r="B11338" s="3" t="s">
        <v>9447</v>
      </c>
      <c r="C11338" s="3" t="s">
        <v>9461</v>
      </c>
      <c r="D11338" s="4" t="str">
        <f t="shared" si="1666"/>
        <v>12Go Link</v>
      </c>
      <c r="E11338" s="3" t="s">
        <v>6599</v>
      </c>
      <c r="K11338" s="5"/>
    </row>
    <row r="11339">
      <c r="A11339" s="3" t="s">
        <v>9447</v>
      </c>
      <c r="B11339" s="3" t="s">
        <v>9447</v>
      </c>
      <c r="C11339" s="3" t="s">
        <v>9461</v>
      </c>
      <c r="D11339" s="4" t="str">
        <f t="shared" si="1666"/>
        <v>12Go Link</v>
      </c>
      <c r="E11339" s="3" t="s">
        <v>3197</v>
      </c>
      <c r="K11339" s="5"/>
    </row>
    <row r="11340">
      <c r="A11340" s="3" t="s">
        <v>9447</v>
      </c>
      <c r="B11340" s="3" t="s">
        <v>9447</v>
      </c>
      <c r="C11340" s="3" t="s">
        <v>9462</v>
      </c>
      <c r="D11340" s="4" t="str">
        <f t="shared" ref="D11340:D11342" si="1667">HYPERLINK("https://12go.asia/en/travel/Danang-Airport/Ngu-Hanh-Son", "12Go Link")</f>
        <v>12Go Link</v>
      </c>
      <c r="E11340" s="3" t="s">
        <v>3196</v>
      </c>
      <c r="K11340" s="5"/>
    </row>
    <row r="11341">
      <c r="A11341" s="3" t="s">
        <v>9447</v>
      </c>
      <c r="B11341" s="3" t="s">
        <v>9447</v>
      </c>
      <c r="C11341" s="3" t="s">
        <v>9462</v>
      </c>
      <c r="D11341" s="4" t="str">
        <f t="shared" si="1667"/>
        <v>12Go Link</v>
      </c>
      <c r="E11341" s="3" t="s">
        <v>6599</v>
      </c>
      <c r="K11341" s="5"/>
    </row>
    <row r="11342">
      <c r="A11342" s="3" t="s">
        <v>9447</v>
      </c>
      <c r="B11342" s="3" t="s">
        <v>9447</v>
      </c>
      <c r="C11342" s="3" t="s">
        <v>9462</v>
      </c>
      <c r="D11342" s="4" t="str">
        <f t="shared" si="1667"/>
        <v>12Go Link</v>
      </c>
      <c r="E11342" s="3" t="s">
        <v>3197</v>
      </c>
      <c r="K11342" s="5"/>
    </row>
    <row r="11343">
      <c r="A11343" s="3" t="s">
        <v>9447</v>
      </c>
      <c r="B11343" s="3" t="s">
        <v>9463</v>
      </c>
      <c r="C11343" s="3" t="s">
        <v>9464</v>
      </c>
      <c r="D11343" s="4" t="str">
        <f>HYPERLINK("https://12go.asia/en/travel/SDT-Da-Nang-Office/Thang-Long-Hotel", "12Go Link")</f>
        <v>12Go Link</v>
      </c>
      <c r="E11343" s="3" t="s">
        <v>9465</v>
      </c>
      <c r="K11343" s="5"/>
    </row>
    <row r="11344">
      <c r="A11344" s="3" t="s">
        <v>9447</v>
      </c>
      <c r="B11344" s="3" t="s">
        <v>9466</v>
      </c>
      <c r="C11344" s="3" t="s">
        <v>9467</v>
      </c>
      <c r="D11344" s="4" t="str">
        <f t="shared" ref="D11344:D11345" si="1668">HYPERLINK("https://12go.asia/en/travel/255-Le-Thach/11-Tran-Dai-Nghia", "12Go Link")</f>
        <v>12Go Link</v>
      </c>
      <c r="E11344" s="3" t="s">
        <v>9456</v>
      </c>
      <c r="K11344" s="5"/>
    </row>
    <row r="11345">
      <c r="A11345" s="3" t="s">
        <v>9447</v>
      </c>
      <c r="B11345" s="3" t="s">
        <v>9466</v>
      </c>
      <c r="C11345" s="3" t="s">
        <v>9467</v>
      </c>
      <c r="D11345" s="4" t="str">
        <f t="shared" si="1668"/>
        <v>12Go Link</v>
      </c>
      <c r="E11345" s="3" t="s">
        <v>9412</v>
      </c>
      <c r="K11345" s="5"/>
    </row>
    <row r="11346">
      <c r="A11346" s="3" t="s">
        <v>9447</v>
      </c>
      <c r="B11346" s="3" t="s">
        <v>9466</v>
      </c>
      <c r="C11346" s="3" t="s">
        <v>9468</v>
      </c>
      <c r="D11346" s="4" t="str">
        <f>HYPERLINK("https://12go.asia/en/travel/255-Le-Thach/12-Pham-Van-Dong", "12Go Link")</f>
        <v>12Go Link</v>
      </c>
      <c r="E11346" s="3" t="s">
        <v>9449</v>
      </c>
      <c r="K11346" s="5"/>
    </row>
    <row r="11347">
      <c r="A11347" s="3" t="s">
        <v>9447</v>
      </c>
      <c r="B11347" s="3" t="s">
        <v>9466</v>
      </c>
      <c r="C11347" s="3" t="s">
        <v>9469</v>
      </c>
      <c r="D11347" s="4" t="str">
        <f t="shared" ref="D11347:D11348" si="1669">HYPERLINK("https://12go.asia/en/travel/41-February-3rd-Street/1-Nguyen-Hoang-My-Dinh", "12Go Link")</f>
        <v>12Go Link</v>
      </c>
      <c r="E11347" s="3" t="s">
        <v>9374</v>
      </c>
      <c r="K11347" s="5"/>
    </row>
    <row r="11348">
      <c r="A11348" s="3" t="s">
        <v>9447</v>
      </c>
      <c r="B11348" s="3" t="s">
        <v>9466</v>
      </c>
      <c r="C11348" s="3" t="s">
        <v>9469</v>
      </c>
      <c r="D11348" s="4" t="str">
        <f t="shared" si="1669"/>
        <v>12Go Link</v>
      </c>
      <c r="E11348" s="3" t="s">
        <v>9470</v>
      </c>
      <c r="K11348" s="5"/>
    </row>
    <row r="11349">
      <c r="A11349" s="3" t="s">
        <v>9447</v>
      </c>
      <c r="B11349" s="3" t="s">
        <v>9466</v>
      </c>
      <c r="C11349" s="3" t="s">
        <v>9471</v>
      </c>
      <c r="D11349" s="4" t="str">
        <f t="shared" ref="D11349:D11350" si="1670">HYPERLINK("https://12go.asia/en/travel/41-February-3rd-Street/114-Tran-Nhat-Duat-Street", "12Go Link")</f>
        <v>12Go Link</v>
      </c>
      <c r="E11349" s="3" t="s">
        <v>9374</v>
      </c>
      <c r="K11349" s="5"/>
    </row>
    <row r="11350">
      <c r="A11350" s="3" t="s">
        <v>9447</v>
      </c>
      <c r="B11350" s="3" t="s">
        <v>9466</v>
      </c>
      <c r="C11350" s="3" t="s">
        <v>9471</v>
      </c>
      <c r="D11350" s="4" t="str">
        <f t="shared" si="1670"/>
        <v>12Go Link</v>
      </c>
      <c r="E11350" s="3" t="s">
        <v>9470</v>
      </c>
      <c r="K11350" s="5"/>
    </row>
    <row r="11351">
      <c r="A11351" s="3" t="s">
        <v>9447</v>
      </c>
      <c r="B11351" s="3" t="s">
        <v>9466</v>
      </c>
      <c r="C11351" s="3" t="s">
        <v>9472</v>
      </c>
      <c r="D11351" s="4" t="str">
        <f t="shared" ref="D11351:D11352" si="1671">HYPERLINK("https://12go.asia/en/travel/41-February-3rd-Street/My-Dinh-Bus-Station", "12Go Link")</f>
        <v>12Go Link</v>
      </c>
      <c r="E11351" s="3" t="s">
        <v>9374</v>
      </c>
      <c r="K11351" s="5"/>
    </row>
    <row r="11352">
      <c r="A11352" s="3" t="s">
        <v>9447</v>
      </c>
      <c r="B11352" s="3" t="s">
        <v>9466</v>
      </c>
      <c r="C11352" s="3" t="s">
        <v>9472</v>
      </c>
      <c r="D11352" s="4" t="str">
        <f t="shared" si="1671"/>
        <v>12Go Link</v>
      </c>
      <c r="E11352" s="3" t="s">
        <v>9470</v>
      </c>
      <c r="K11352" s="5"/>
    </row>
    <row r="11353">
      <c r="A11353" s="3" t="s">
        <v>9447</v>
      </c>
      <c r="B11353" s="3" t="s">
        <v>9466</v>
      </c>
      <c r="C11353" s="3" t="s">
        <v>9473</v>
      </c>
      <c r="D11353" s="4" t="str">
        <f>HYPERLINK("https://12go.asia/en/travel/65-February-3rd-Street/459-Tran-Khat-Chan", "12Go Link")</f>
        <v>12Go Link</v>
      </c>
      <c r="E11353" s="3" t="s">
        <v>9474</v>
      </c>
      <c r="K11353" s="5"/>
    </row>
    <row r="11354">
      <c r="A11354" s="3" t="s">
        <v>9447</v>
      </c>
      <c r="B11354" s="3" t="s">
        <v>9466</v>
      </c>
      <c r="C11354" s="3" t="s">
        <v>9475</v>
      </c>
      <c r="D11354" s="4" t="str">
        <f t="shared" ref="D11354:D11355" si="1672">HYPERLINK("https://12go.asia/en/travel/95-Hoang-Thi-Loan/160-Tran-Vy", "12Go Link")</f>
        <v>12Go Link</v>
      </c>
      <c r="E11354" s="3" t="s">
        <v>9456</v>
      </c>
      <c r="K11354" s="5"/>
    </row>
    <row r="11355">
      <c r="A11355" s="3" t="s">
        <v>9447</v>
      </c>
      <c r="B11355" s="3" t="s">
        <v>9466</v>
      </c>
      <c r="C11355" s="3" t="s">
        <v>9475</v>
      </c>
      <c r="D11355" s="4" t="str">
        <f t="shared" si="1672"/>
        <v>12Go Link</v>
      </c>
      <c r="E11355" s="3" t="s">
        <v>9412</v>
      </c>
      <c r="K11355" s="5"/>
    </row>
    <row r="11356">
      <c r="A11356" s="3" t="s">
        <v>9447</v>
      </c>
      <c r="B11356" s="3" t="s">
        <v>9466</v>
      </c>
      <c r="C11356" s="3" t="s">
        <v>9476</v>
      </c>
      <c r="D11356" s="4" t="str">
        <f>HYPERLINK("https://12go.asia/en/travel/96-Hoang-Thi-Loan/160-Tran-Vy", "12Go Link")</f>
        <v>12Go Link</v>
      </c>
      <c r="E11356" s="3" t="s">
        <v>9412</v>
      </c>
      <c r="K11356" s="5"/>
    </row>
    <row r="11357">
      <c r="A11357" s="3" t="s">
        <v>9447</v>
      </c>
      <c r="B11357" s="3" t="s">
        <v>9466</v>
      </c>
      <c r="C11357" s="3" t="s">
        <v>9477</v>
      </c>
      <c r="D11357" s="4" t="str">
        <f t="shared" ref="D11357:D11358" si="1673">HYPERLINK("https://12go.asia/en/travel/96-Hoang-Thi-Loan/My-Dinh-office", "12Go Link")</f>
        <v>12Go Link</v>
      </c>
      <c r="E11357" s="3" t="s">
        <v>9456</v>
      </c>
      <c r="K11357" s="5"/>
    </row>
    <row r="11358">
      <c r="A11358" s="3" t="s">
        <v>9447</v>
      </c>
      <c r="B11358" s="3" t="s">
        <v>9466</v>
      </c>
      <c r="C11358" s="3" t="s">
        <v>9477</v>
      </c>
      <c r="D11358" s="4" t="str">
        <f t="shared" si="1673"/>
        <v>12Go Link</v>
      </c>
      <c r="E11358" s="3" t="s">
        <v>9412</v>
      </c>
      <c r="K11358" s="5"/>
    </row>
    <row r="11359">
      <c r="A11359" s="3" t="s">
        <v>9447</v>
      </c>
      <c r="B11359" s="3" t="s">
        <v>9466</v>
      </c>
      <c r="C11359" s="3" t="s">
        <v>9478</v>
      </c>
      <c r="D11359" s="4" t="str">
        <f t="shared" ref="D11359:D11360" si="1674">HYPERLINK("https://12go.asia/en/travel/Da-Nang-Bus-Central-Station/11-Tran-Dai-Nghia", "12Go Link")</f>
        <v>12Go Link</v>
      </c>
      <c r="E11359" s="3" t="s">
        <v>9456</v>
      </c>
      <c r="K11359" s="5"/>
    </row>
    <row r="11360">
      <c r="A11360" s="3" t="s">
        <v>9447</v>
      </c>
      <c r="B11360" s="3" t="s">
        <v>9466</v>
      </c>
      <c r="C11360" s="3" t="s">
        <v>9478</v>
      </c>
      <c r="D11360" s="4" t="str">
        <f t="shared" si="1674"/>
        <v>12Go Link</v>
      </c>
      <c r="E11360" s="3" t="s">
        <v>9412</v>
      </c>
      <c r="K11360" s="5"/>
    </row>
    <row r="11361">
      <c r="A11361" s="3" t="s">
        <v>9447</v>
      </c>
      <c r="B11361" s="3" t="s">
        <v>9466</v>
      </c>
      <c r="C11361" s="3" t="s">
        <v>9479</v>
      </c>
      <c r="D11361" s="4" t="str">
        <f>HYPERLINK("https://12go.asia/en/travel/Da-Nang-Bus-Central-Station/12-Pham-Van-Dong", "12Go Link")</f>
        <v>12Go Link</v>
      </c>
      <c r="E11361" s="3" t="s">
        <v>9449</v>
      </c>
      <c r="K11361" s="5"/>
    </row>
    <row r="11362">
      <c r="A11362" s="3" t="s">
        <v>9447</v>
      </c>
      <c r="B11362" s="3" t="s">
        <v>9466</v>
      </c>
      <c r="C11362" s="3" t="s">
        <v>9480</v>
      </c>
      <c r="D11362" s="4" t="str">
        <f>HYPERLINK("https://12go.asia/en/travel/Da-Nang-Bus-Central-Station/160-Tran-Vy", "12Go Link")</f>
        <v>12Go Link</v>
      </c>
      <c r="E11362" s="3" t="s">
        <v>9412</v>
      </c>
      <c r="K11362" s="5"/>
    </row>
    <row r="11363">
      <c r="A11363" s="3" t="s">
        <v>9447</v>
      </c>
      <c r="B11363" s="3" t="s">
        <v>9466</v>
      </c>
      <c r="C11363" s="3" t="s">
        <v>9481</v>
      </c>
      <c r="D11363" s="4" t="str">
        <f t="shared" ref="D11363:D11364" si="1675">HYPERLINK("https://12go.asia/en/travel/Da-Nang-Bus-Central-Station/My-Dinh-office", "12Go Link")</f>
        <v>12Go Link</v>
      </c>
      <c r="E11363" s="3" t="s">
        <v>9456</v>
      </c>
      <c r="K11363" s="5"/>
    </row>
    <row r="11364">
      <c r="A11364" s="3" t="s">
        <v>9447</v>
      </c>
      <c r="B11364" s="3" t="s">
        <v>9466</v>
      </c>
      <c r="C11364" s="3" t="s">
        <v>9481</v>
      </c>
      <c r="D11364" s="4" t="str">
        <f t="shared" si="1675"/>
        <v>12Go Link</v>
      </c>
      <c r="E11364" s="3" t="s">
        <v>9412</v>
      </c>
      <c r="K11364" s="5"/>
    </row>
    <row r="11365">
      <c r="A11365" s="3" t="s">
        <v>9447</v>
      </c>
      <c r="B11365" s="3" t="s">
        <v>9466</v>
      </c>
      <c r="C11365" s="3" t="s">
        <v>9482</v>
      </c>
      <c r="D11365" s="4" t="str">
        <f t="shared" ref="D11365:D11366" si="1676">HYPERLINK("https://12go.asia/en/travel/Da-Nang-Bus-Central-Station/University-of-Languages", "12Go Link")</f>
        <v>12Go Link</v>
      </c>
      <c r="E11365" s="3" t="s">
        <v>9456</v>
      </c>
      <c r="K11365" s="5"/>
    </row>
    <row r="11366">
      <c r="A11366" s="3" t="s">
        <v>9447</v>
      </c>
      <c r="B11366" s="3" t="s">
        <v>9466</v>
      </c>
      <c r="C11366" s="3" t="s">
        <v>9482</v>
      </c>
      <c r="D11366" s="4" t="str">
        <f t="shared" si="1676"/>
        <v>12Go Link</v>
      </c>
      <c r="E11366" s="3" t="s">
        <v>9412</v>
      </c>
      <c r="K11366" s="5"/>
    </row>
    <row r="11367">
      <c r="A11367" s="3" t="s">
        <v>9447</v>
      </c>
      <c r="B11367" s="3" t="s">
        <v>9466</v>
      </c>
      <c r="C11367" s="3" t="s">
        <v>9483</v>
      </c>
      <c r="D11367" s="4" t="str">
        <f>HYPERLINK("https://12go.asia/en/travel/Da-Nang-Bus-Station/12-Pham-Van-Dong", "12Go Link")</f>
        <v>12Go Link</v>
      </c>
      <c r="E11367" s="3" t="s">
        <v>9449</v>
      </c>
      <c r="K11367" s="5"/>
    </row>
    <row r="11368">
      <c r="A11368" s="3" t="s">
        <v>9447</v>
      </c>
      <c r="B11368" s="3" t="s">
        <v>9466</v>
      </c>
      <c r="C11368" s="3" t="s">
        <v>9484</v>
      </c>
      <c r="D11368" s="4" t="str">
        <f t="shared" ref="D11368:D11369" si="1677">HYPERLINK("https://12go.asia/en/travel/Danang-HAV-Limo/11-Tran-Dai-Nghia", "12Go Link")</f>
        <v>12Go Link</v>
      </c>
      <c r="E11368" s="3" t="s">
        <v>9456</v>
      </c>
      <c r="K11368" s="5"/>
    </row>
    <row r="11369">
      <c r="A11369" s="3" t="s">
        <v>9447</v>
      </c>
      <c r="B11369" s="3" t="s">
        <v>9466</v>
      </c>
      <c r="C11369" s="3" t="s">
        <v>9484</v>
      </c>
      <c r="D11369" s="4" t="str">
        <f t="shared" si="1677"/>
        <v>12Go Link</v>
      </c>
      <c r="E11369" s="3" t="s">
        <v>9412</v>
      </c>
      <c r="K11369" s="5"/>
    </row>
    <row r="11370">
      <c r="A11370" s="3" t="s">
        <v>9447</v>
      </c>
      <c r="B11370" s="3" t="s">
        <v>9466</v>
      </c>
      <c r="C11370" s="3" t="s">
        <v>9485</v>
      </c>
      <c r="D11370" s="4" t="str">
        <f>HYPERLINK("https://12go.asia/en/travel/SDT-Da-Nang-Office/Nuoc-Ngam-Hanoi", "12Go Link")</f>
        <v>12Go Link</v>
      </c>
      <c r="E11370" s="3" t="s">
        <v>9449</v>
      </c>
      <c r="K11370" s="5"/>
    </row>
    <row r="11371">
      <c r="A11371" s="3" t="s">
        <v>9447</v>
      </c>
      <c r="B11371" s="3" t="s">
        <v>9419</v>
      </c>
      <c r="C11371" s="3" t="s">
        <v>9486</v>
      </c>
      <c r="D11371" s="4" t="str">
        <f>HYPERLINK("https://12go.asia/en/travel/Da-Nang/An-Suong-Office", "12Go Link")</f>
        <v>12Go Link</v>
      </c>
      <c r="E11371" s="3" t="s">
        <v>9450</v>
      </c>
      <c r="K11371" s="5"/>
    </row>
    <row r="11372">
      <c r="A11372" s="3" t="s">
        <v>9447</v>
      </c>
      <c r="B11372" s="3" t="s">
        <v>9487</v>
      </c>
      <c r="C11372" s="3" t="s">
        <v>9488</v>
      </c>
      <c r="D11372" s="4" t="str">
        <f>HYPERLINK("https://12go.asia/en/travel/41-February-3rd-Street/105-Ton-Duc-Thang", "12Go Link")</f>
        <v>12Go Link</v>
      </c>
      <c r="E11372" s="3" t="s">
        <v>9374</v>
      </c>
      <c r="K11372" s="5"/>
    </row>
    <row r="11373">
      <c r="A11373" s="3" t="s">
        <v>9447</v>
      </c>
      <c r="B11373" s="3" t="s">
        <v>9487</v>
      </c>
      <c r="C11373" s="3" t="s">
        <v>9489</v>
      </c>
      <c r="D11373" s="4" t="str">
        <f>HYPERLINK("https://12go.asia/en/travel/41-February-3rd-Street/23-Nguyen-Tat-Thanh", "12Go Link")</f>
        <v>12Go Link</v>
      </c>
      <c r="E11373" s="3" t="s">
        <v>9374</v>
      </c>
      <c r="K11373" s="5"/>
    </row>
    <row r="11374">
      <c r="A11374" s="3" t="s">
        <v>9447</v>
      </c>
      <c r="B11374" s="3" t="s">
        <v>9487</v>
      </c>
      <c r="C11374" s="3" t="s">
        <v>9490</v>
      </c>
      <c r="D11374" s="4" t="str">
        <f>HYPERLINK("https://12go.asia/en/travel/A-La-Carte-Danang-Beach/Hoi-An-487-Hai-Ba-Trung-street", "12Go Link")</f>
        <v>12Go Link</v>
      </c>
      <c r="E11374" s="3" t="s">
        <v>9491</v>
      </c>
      <c r="K11374" s="5"/>
    </row>
    <row r="11375">
      <c r="A11375" s="3" t="s">
        <v>9447</v>
      </c>
      <c r="B11375" s="3" t="s">
        <v>9487</v>
      </c>
      <c r="C11375" s="3" t="s">
        <v>9492</v>
      </c>
      <c r="D11375" s="4" t="str">
        <f t="shared" ref="D11375:D11379" si="1678">HYPERLINK("https://12go.asia/en/travel/Da-Nang-Airport/Hoi-An", "12Go Link")</f>
        <v>12Go Link</v>
      </c>
      <c r="E11375" s="3" t="s">
        <v>222</v>
      </c>
      <c r="K11375" s="5"/>
    </row>
    <row r="11376">
      <c r="A11376" s="3" t="s">
        <v>9447</v>
      </c>
      <c r="B11376" s="3" t="s">
        <v>9487</v>
      </c>
      <c r="C11376" s="3" t="s">
        <v>9492</v>
      </c>
      <c r="D11376" s="4" t="str">
        <f t="shared" si="1678"/>
        <v>12Go Link</v>
      </c>
      <c r="E11376" s="3" t="s">
        <v>6599</v>
      </c>
      <c r="K11376" s="5"/>
    </row>
    <row r="11377">
      <c r="A11377" s="3" t="s">
        <v>9447</v>
      </c>
      <c r="B11377" s="3" t="s">
        <v>9487</v>
      </c>
      <c r="C11377" s="3" t="s">
        <v>9492</v>
      </c>
      <c r="D11377" s="4" t="str">
        <f t="shared" si="1678"/>
        <v>12Go Link</v>
      </c>
      <c r="E11377" s="3" t="s">
        <v>9395</v>
      </c>
      <c r="K11377" s="5"/>
    </row>
    <row r="11378">
      <c r="A11378" s="3" t="s">
        <v>9447</v>
      </c>
      <c r="B11378" s="3" t="s">
        <v>9487</v>
      </c>
      <c r="C11378" s="3" t="s">
        <v>9492</v>
      </c>
      <c r="D11378" s="4" t="str">
        <f t="shared" si="1678"/>
        <v>12Go Link</v>
      </c>
      <c r="E11378" s="3" t="s">
        <v>9396</v>
      </c>
      <c r="K11378" s="5"/>
    </row>
    <row r="11379">
      <c r="A11379" s="3" t="s">
        <v>9447</v>
      </c>
      <c r="B11379" s="3" t="s">
        <v>9487</v>
      </c>
      <c r="C11379" s="3" t="s">
        <v>9492</v>
      </c>
      <c r="D11379" s="4" t="str">
        <f t="shared" si="1678"/>
        <v>12Go Link</v>
      </c>
      <c r="E11379" s="3" t="s">
        <v>7470</v>
      </c>
      <c r="K11379" s="5"/>
    </row>
    <row r="11380">
      <c r="A11380" s="3" t="s">
        <v>9447</v>
      </c>
      <c r="B11380" s="3" t="s">
        <v>9487</v>
      </c>
      <c r="C11380" s="3" t="s">
        <v>9493</v>
      </c>
      <c r="D11380" s="4" t="str">
        <f>HYPERLINK("https://12go.asia/en/travel/Da-Nang-Airport/Hoi-An-Old-Town-Bus-Stop-at-01-Dao-Duy-Tu-street", "12Go Link")</f>
        <v>12Go Link</v>
      </c>
      <c r="E11380" s="3" t="s">
        <v>9491</v>
      </c>
      <c r="K11380" s="5"/>
    </row>
    <row r="11381">
      <c r="A11381" s="3" t="s">
        <v>9447</v>
      </c>
      <c r="B11381" s="3" t="s">
        <v>9487</v>
      </c>
      <c r="C11381" s="3" t="s">
        <v>9494</v>
      </c>
      <c r="D11381" s="4" t="str">
        <f>HYPERLINK("https://12go.asia/en/travel/Da-Nang-City-Center-at-Cham-Museum/Hoi-An-An-Bang-Beach", "12Go Link")</f>
        <v>12Go Link</v>
      </c>
      <c r="E11381" s="3" t="s">
        <v>9495</v>
      </c>
      <c r="K11381" s="5"/>
    </row>
    <row r="11382">
      <c r="A11382" s="3" t="s">
        <v>9447</v>
      </c>
      <c r="B11382" s="3" t="s">
        <v>9487</v>
      </c>
      <c r="C11382" s="3" t="s">
        <v>9496</v>
      </c>
      <c r="D11382" s="4" t="str">
        <f>HYPERLINK("https://12go.asia/en/travel/Da-Nang-City-Center-at-Cham-Museum/Hoi-An-Old-Town-Bus-Stop-at-01-Dao-Duy-Tu-street", "12Go Link")</f>
        <v>12Go Link</v>
      </c>
      <c r="E11382" s="3" t="s">
        <v>9491</v>
      </c>
      <c r="K11382" s="5"/>
    </row>
    <row r="11383">
      <c r="A11383" s="3" t="s">
        <v>9447</v>
      </c>
      <c r="B11383" s="3" t="s">
        <v>9487</v>
      </c>
      <c r="C11383" s="3" t="s">
        <v>9497</v>
      </c>
      <c r="D11383" s="4" t="str">
        <f>HYPERLINK("https://12go.asia/en/travel/Da-Nang-International-Airport/Hoi-An-An-Bang-Beach", "12Go Link")</f>
        <v>12Go Link</v>
      </c>
      <c r="E11383" s="3" t="s">
        <v>9495</v>
      </c>
      <c r="K11383" s="5"/>
    </row>
    <row r="11384">
      <c r="A11384" s="3" t="s">
        <v>9447</v>
      </c>
      <c r="B11384" s="3" t="s">
        <v>9487</v>
      </c>
      <c r="C11384" s="3" t="s">
        <v>9498</v>
      </c>
      <c r="D11384" s="4" t="str">
        <f>HYPERLINK("https://12go.asia/en/travel/Da-Nang-International-Airport/Hoi-An-Old-Town-Bus-Stop-at-01-Dao-Duy-Tu-street", "12Go Link")</f>
        <v>12Go Link</v>
      </c>
      <c r="E11384" s="3" t="s">
        <v>9495</v>
      </c>
      <c r="K11384" s="5"/>
    </row>
    <row r="11385">
      <c r="A11385" s="3" t="s">
        <v>9447</v>
      </c>
      <c r="B11385" s="3" t="s">
        <v>9487</v>
      </c>
      <c r="C11385" s="3" t="s">
        <v>9499</v>
      </c>
      <c r="D11385" s="4" t="str">
        <f>HYPERLINK("https://12go.asia/en/travel/Danava-Travel-16-Road-32/23-Nguyen-Tat-Thanh", "12Go Link")</f>
        <v>12Go Link</v>
      </c>
      <c r="E11385" s="3" t="s">
        <v>9374</v>
      </c>
      <c r="K11385" s="5"/>
    </row>
    <row r="11386">
      <c r="A11386" s="3" t="s">
        <v>9447</v>
      </c>
      <c r="B11386" s="3" t="s">
        <v>9487</v>
      </c>
      <c r="C11386" s="3" t="s">
        <v>9500</v>
      </c>
      <c r="D11386" s="4" t="str">
        <f>HYPERLINK("https://12go.asia/en/travel/Holiday-Beach-Da-Nang-Station/Hoi-An-487-Hai-Ba-Trung-street", "12Go Link")</f>
        <v>12Go Link</v>
      </c>
      <c r="E11386" s="3" t="s">
        <v>9491</v>
      </c>
      <c r="K11386" s="5"/>
    </row>
    <row r="11387">
      <c r="A11387" s="3" t="s">
        <v>9447</v>
      </c>
      <c r="B11387" s="3" t="s">
        <v>9487</v>
      </c>
      <c r="C11387" s="3" t="s">
        <v>9501</v>
      </c>
      <c r="D11387" s="4" t="str">
        <f>HYPERLINK("https://12go.asia/en/travel/Holiday-Beach-Da-Nang-Station/Hoi-An-Old-Town-Bus-Stop-at-01-Dao-Duy-Tu-street", "12Go Link")</f>
        <v>12Go Link</v>
      </c>
      <c r="E11387" s="3" t="s">
        <v>9491</v>
      </c>
      <c r="K11387" s="5"/>
    </row>
    <row r="11388">
      <c r="A11388" s="3" t="s">
        <v>9447</v>
      </c>
      <c r="B11388" s="3" t="s">
        <v>9502</v>
      </c>
      <c r="C11388" s="3" t="s">
        <v>9503</v>
      </c>
      <c r="D11388" s="4" t="str">
        <f t="shared" ref="D11388:D11389" si="1679">HYPERLINK("https://12go.asia/en/travel/41-February-3rd-Street/44-Chu-van-An-Street", "12Go Link")</f>
        <v>12Go Link</v>
      </c>
      <c r="E11388" s="3" t="s">
        <v>9374</v>
      </c>
      <c r="K11388" s="5"/>
    </row>
    <row r="11389">
      <c r="A11389" s="3" t="s">
        <v>9447</v>
      </c>
      <c r="B11389" s="3" t="s">
        <v>9502</v>
      </c>
      <c r="C11389" s="3" t="s">
        <v>9503</v>
      </c>
      <c r="D11389" s="4" t="str">
        <f t="shared" si="1679"/>
        <v>12Go Link</v>
      </c>
      <c r="E11389" s="3" t="s">
        <v>9470</v>
      </c>
      <c r="K11389" s="5"/>
    </row>
    <row r="11390">
      <c r="A11390" s="3" t="s">
        <v>9447</v>
      </c>
      <c r="B11390" s="3" t="s">
        <v>9502</v>
      </c>
      <c r="C11390" s="3" t="s">
        <v>9504</v>
      </c>
      <c r="D11390" s="4" t="str">
        <f t="shared" ref="D11390:D11391" si="1680">HYPERLINK("https://12go.asia/en/travel/41-February-3rd-Street/7-Doi-Cung-Hue", "12Go Link")</f>
        <v>12Go Link</v>
      </c>
      <c r="E11390" s="3" t="s">
        <v>9374</v>
      </c>
      <c r="K11390" s="5"/>
    </row>
    <row r="11391">
      <c r="A11391" s="3" t="s">
        <v>9447</v>
      </c>
      <c r="B11391" s="3" t="s">
        <v>9502</v>
      </c>
      <c r="C11391" s="3" t="s">
        <v>9504</v>
      </c>
      <c r="D11391" s="4" t="str">
        <f t="shared" si="1680"/>
        <v>12Go Link</v>
      </c>
      <c r="E11391" s="3" t="s">
        <v>9470</v>
      </c>
      <c r="K11391" s="5"/>
    </row>
    <row r="11392">
      <c r="A11392" s="3" t="s">
        <v>9447</v>
      </c>
      <c r="B11392" s="3" t="s">
        <v>9502</v>
      </c>
      <c r="C11392" s="3" t="s">
        <v>9505</v>
      </c>
      <c r="D11392" s="4" t="str">
        <f>HYPERLINK("https://12go.asia/en/travel/41-February-3rd-Street/Benly-Cafe-3-Doi-Cung", "12Go Link")</f>
        <v>12Go Link</v>
      </c>
      <c r="E11392" s="3" t="s">
        <v>9374</v>
      </c>
      <c r="K11392" s="5"/>
    </row>
    <row r="11393">
      <c r="A11393" s="3" t="s">
        <v>9447</v>
      </c>
      <c r="B11393" s="3" t="s">
        <v>9502</v>
      </c>
      <c r="C11393" s="3" t="s">
        <v>9506</v>
      </c>
      <c r="D11393" s="4" t="str">
        <f t="shared" ref="D11393:D11394" si="1681">HYPERLINK("https://12go.asia/en/travel/41-February-3rd-Street/Benly-Coffee", "12Go Link")</f>
        <v>12Go Link</v>
      </c>
      <c r="E11393" s="3" t="s">
        <v>9374</v>
      </c>
      <c r="K11393" s="5"/>
    </row>
    <row r="11394">
      <c r="A11394" s="3" t="s">
        <v>9447</v>
      </c>
      <c r="B11394" s="3" t="s">
        <v>9502</v>
      </c>
      <c r="C11394" s="3" t="s">
        <v>9506</v>
      </c>
      <c r="D11394" s="4" t="str">
        <f t="shared" si="1681"/>
        <v>12Go Link</v>
      </c>
      <c r="E11394" s="3" t="s">
        <v>9470</v>
      </c>
      <c r="K11394" s="5"/>
    </row>
    <row r="11395">
      <c r="A11395" s="3" t="s">
        <v>9447</v>
      </c>
      <c r="B11395" s="3" t="s">
        <v>9502</v>
      </c>
      <c r="C11395" s="3" t="s">
        <v>9507</v>
      </c>
      <c r="D11395" s="4" t="str">
        <f>HYPERLINK("https://12go.asia/en/travel/65-February-3rd-Street/86-Nguyen-Sinh-Cung", "12Go Link")</f>
        <v>12Go Link</v>
      </c>
      <c r="E11395" s="3" t="s">
        <v>9474</v>
      </c>
      <c r="K11395" s="5"/>
    </row>
    <row r="11396">
      <c r="A11396" s="3" t="s">
        <v>9447</v>
      </c>
      <c r="B11396" s="3" t="s">
        <v>9502</v>
      </c>
      <c r="C11396" s="3" t="s">
        <v>9508</v>
      </c>
      <c r="D11396" s="4" t="str">
        <f t="shared" ref="D11396:D11398" si="1682">HYPERLINK("https://12go.asia/en/travel/73-Nguyen-Tuong-Pho/26-Nguyen-Hue", "12Go Link")</f>
        <v>12Go Link</v>
      </c>
      <c r="E11396" s="3" t="s">
        <v>9509</v>
      </c>
      <c r="K11396" s="5"/>
    </row>
    <row r="11397">
      <c r="A11397" s="3" t="s">
        <v>9447</v>
      </c>
      <c r="B11397" s="3" t="s">
        <v>9502</v>
      </c>
      <c r="C11397" s="3" t="s">
        <v>9508</v>
      </c>
      <c r="D11397" s="4" t="str">
        <f t="shared" si="1682"/>
        <v>12Go Link</v>
      </c>
      <c r="E11397" s="3" t="s">
        <v>9510</v>
      </c>
      <c r="K11397" s="5"/>
    </row>
    <row r="11398">
      <c r="A11398" s="3" t="s">
        <v>9447</v>
      </c>
      <c r="B11398" s="3" t="s">
        <v>9502</v>
      </c>
      <c r="C11398" s="3" t="s">
        <v>9508</v>
      </c>
      <c r="D11398" s="4" t="str">
        <f t="shared" si="1682"/>
        <v>12Go Link</v>
      </c>
      <c r="E11398" s="3" t="s">
        <v>9511</v>
      </c>
      <c r="K11398" s="5"/>
    </row>
    <row r="11399">
      <c r="A11399" s="3" t="s">
        <v>9447</v>
      </c>
      <c r="B11399" s="3" t="s">
        <v>9502</v>
      </c>
      <c r="C11399" s="3" t="s">
        <v>9512</v>
      </c>
      <c r="D11399" s="4" t="str">
        <f>HYPERLINK("https://12go.asia/en/travel/A-La-Carte-Danang-Beach/Hue-45-Le-Loi-street", "12Go Link")</f>
        <v>12Go Link</v>
      </c>
      <c r="E11399" s="3" t="s">
        <v>9513</v>
      </c>
      <c r="K11399" s="5"/>
    </row>
    <row r="11400">
      <c r="A11400" s="3" t="s">
        <v>9447</v>
      </c>
      <c r="B11400" s="3" t="s">
        <v>9502</v>
      </c>
      <c r="C11400" s="3" t="s">
        <v>9514</v>
      </c>
      <c r="D11400" s="4" t="str">
        <f>HYPERLINK("https://12go.asia/en/travel/Da-Nang/07-Doi-Cung", "12Go Link")</f>
        <v>12Go Link</v>
      </c>
      <c r="E11400" s="3" t="s">
        <v>9515</v>
      </c>
      <c r="K11400" s="5"/>
    </row>
    <row r="11401">
      <c r="A11401" s="3" t="s">
        <v>9447</v>
      </c>
      <c r="B11401" s="3" t="s">
        <v>9502</v>
      </c>
      <c r="C11401" s="3" t="s">
        <v>9516</v>
      </c>
      <c r="D11401" s="4" t="str">
        <f t="shared" ref="D11401:D11405" si="1683">HYPERLINK("https://12go.asia/en/travel/Da-Nang-Airport/Chan-May-Port", "12Go Link")</f>
        <v>12Go Link</v>
      </c>
      <c r="E11401" s="3" t="s">
        <v>222</v>
      </c>
      <c r="K11401" s="5"/>
    </row>
    <row r="11402">
      <c r="A11402" s="3" t="s">
        <v>9447</v>
      </c>
      <c r="B11402" s="3" t="s">
        <v>9502</v>
      </c>
      <c r="C11402" s="3" t="s">
        <v>9516</v>
      </c>
      <c r="D11402" s="4" t="str">
        <f t="shared" si="1683"/>
        <v>12Go Link</v>
      </c>
      <c r="E11402" s="3" t="s">
        <v>6599</v>
      </c>
      <c r="K11402" s="5"/>
    </row>
    <row r="11403">
      <c r="A11403" s="3" t="s">
        <v>9447</v>
      </c>
      <c r="B11403" s="3" t="s">
        <v>9502</v>
      </c>
      <c r="C11403" s="3" t="s">
        <v>9516</v>
      </c>
      <c r="D11403" s="4" t="str">
        <f t="shared" si="1683"/>
        <v>12Go Link</v>
      </c>
      <c r="E11403" s="3" t="s">
        <v>9395</v>
      </c>
      <c r="K11403" s="5"/>
    </row>
    <row r="11404">
      <c r="A11404" s="3" t="s">
        <v>9447</v>
      </c>
      <c r="B11404" s="3" t="s">
        <v>9502</v>
      </c>
      <c r="C11404" s="3" t="s">
        <v>9516</v>
      </c>
      <c r="D11404" s="4" t="str">
        <f t="shared" si="1683"/>
        <v>12Go Link</v>
      </c>
      <c r="E11404" s="3" t="s">
        <v>9396</v>
      </c>
      <c r="K11404" s="5"/>
    </row>
    <row r="11405">
      <c r="A11405" s="3" t="s">
        <v>9447</v>
      </c>
      <c r="B11405" s="3" t="s">
        <v>9502</v>
      </c>
      <c r="C11405" s="3" t="s">
        <v>9516</v>
      </c>
      <c r="D11405" s="4" t="str">
        <f t="shared" si="1683"/>
        <v>12Go Link</v>
      </c>
      <c r="E11405" s="3" t="s">
        <v>7470</v>
      </c>
      <c r="K11405" s="5"/>
    </row>
    <row r="11406">
      <c r="A11406" s="3" t="s">
        <v>9447</v>
      </c>
      <c r="B11406" s="3" t="s">
        <v>9502</v>
      </c>
      <c r="C11406" s="3" t="s">
        <v>9517</v>
      </c>
      <c r="D11406" s="4" t="str">
        <f t="shared" ref="D11406:D11410" si="1684">HYPERLINK("https://12go.asia/en/travel/Da-Nang-Airport/Hue", "12Go Link")</f>
        <v>12Go Link</v>
      </c>
      <c r="E11406" s="3" t="s">
        <v>222</v>
      </c>
      <c r="K11406" s="5"/>
    </row>
    <row r="11407">
      <c r="A11407" s="3" t="s">
        <v>9447</v>
      </c>
      <c r="B11407" s="3" t="s">
        <v>9502</v>
      </c>
      <c r="C11407" s="3" t="s">
        <v>9517</v>
      </c>
      <c r="D11407" s="4" t="str">
        <f t="shared" si="1684"/>
        <v>12Go Link</v>
      </c>
      <c r="E11407" s="3" t="s">
        <v>6599</v>
      </c>
      <c r="K11407" s="5"/>
    </row>
    <row r="11408">
      <c r="A11408" s="3" t="s">
        <v>9447</v>
      </c>
      <c r="B11408" s="3" t="s">
        <v>9502</v>
      </c>
      <c r="C11408" s="3" t="s">
        <v>9517</v>
      </c>
      <c r="D11408" s="4" t="str">
        <f t="shared" si="1684"/>
        <v>12Go Link</v>
      </c>
      <c r="E11408" s="3" t="s">
        <v>9395</v>
      </c>
      <c r="K11408" s="5"/>
    </row>
    <row r="11409">
      <c r="A11409" s="3" t="s">
        <v>9447</v>
      </c>
      <c r="B11409" s="3" t="s">
        <v>9502</v>
      </c>
      <c r="C11409" s="3" t="s">
        <v>9517</v>
      </c>
      <c r="D11409" s="4" t="str">
        <f t="shared" si="1684"/>
        <v>12Go Link</v>
      </c>
      <c r="E11409" s="3" t="s">
        <v>9396</v>
      </c>
      <c r="K11409" s="5"/>
    </row>
    <row r="11410">
      <c r="A11410" s="3" t="s">
        <v>9447</v>
      </c>
      <c r="B11410" s="3" t="s">
        <v>9502</v>
      </c>
      <c r="C11410" s="3" t="s">
        <v>9517</v>
      </c>
      <c r="D11410" s="4" t="str">
        <f t="shared" si="1684"/>
        <v>12Go Link</v>
      </c>
      <c r="E11410" s="3" t="s">
        <v>7470</v>
      </c>
      <c r="K11410" s="5"/>
    </row>
    <row r="11411">
      <c r="A11411" s="3" t="s">
        <v>9447</v>
      </c>
      <c r="B11411" s="3" t="s">
        <v>9502</v>
      </c>
      <c r="C11411" s="3" t="s">
        <v>9518</v>
      </c>
      <c r="D11411" s="4" t="str">
        <f>HYPERLINK("https://12go.asia/en/travel/Da-Nang-Airport/Hue-45-Le-Loi-street", "12Go Link")</f>
        <v>12Go Link</v>
      </c>
      <c r="E11411" s="3" t="s">
        <v>9513</v>
      </c>
      <c r="K11411" s="5"/>
    </row>
    <row r="11412">
      <c r="A11412" s="3" t="s">
        <v>9447</v>
      </c>
      <c r="B11412" s="3" t="s">
        <v>9502</v>
      </c>
      <c r="C11412" s="3" t="s">
        <v>9519</v>
      </c>
      <c r="D11412" s="4" t="str">
        <f>HYPERLINK("https://12go.asia/en/travel/Da-Nang-City/Hue-City-Center", "12Go Link")</f>
        <v>12Go Link</v>
      </c>
      <c r="E11412" s="3" t="s">
        <v>225</v>
      </c>
      <c r="K11412" s="5"/>
    </row>
    <row r="11413">
      <c r="A11413" s="3" t="s">
        <v>9447</v>
      </c>
      <c r="B11413" s="3" t="s">
        <v>9502</v>
      </c>
      <c r="C11413" s="3" t="s">
        <v>9520</v>
      </c>
      <c r="D11413" s="4" t="str">
        <f>HYPERLINK("https://12go.asia/en/travel/Da-Nang-City-Center-at-Cham-Museum/Hue-45-Le-Loi-street", "12Go Link")</f>
        <v>12Go Link</v>
      </c>
      <c r="E11413" s="3" t="s">
        <v>9513</v>
      </c>
      <c r="K11413" s="5"/>
    </row>
    <row r="11414">
      <c r="A11414" s="3" t="s">
        <v>9447</v>
      </c>
      <c r="B11414" s="3" t="s">
        <v>9502</v>
      </c>
      <c r="C11414" s="3" t="s">
        <v>9521</v>
      </c>
      <c r="D11414" s="4" t="str">
        <f t="shared" ref="D11414:D11416" si="1685">HYPERLINK("https://12go.asia/en/travel/Danang-Airport/Hue-City-Center", "12Go Link")</f>
        <v>12Go Link</v>
      </c>
      <c r="E11414" s="3" t="s">
        <v>3196</v>
      </c>
      <c r="K11414" s="5"/>
    </row>
    <row r="11415">
      <c r="A11415" s="3" t="s">
        <v>9447</v>
      </c>
      <c r="B11415" s="3" t="s">
        <v>9502</v>
      </c>
      <c r="C11415" s="3" t="s">
        <v>9521</v>
      </c>
      <c r="D11415" s="4" t="str">
        <f t="shared" si="1685"/>
        <v>12Go Link</v>
      </c>
      <c r="E11415" s="3" t="s">
        <v>6599</v>
      </c>
      <c r="K11415" s="5"/>
    </row>
    <row r="11416">
      <c r="A11416" s="3" t="s">
        <v>9447</v>
      </c>
      <c r="B11416" s="3" t="s">
        <v>9502</v>
      </c>
      <c r="C11416" s="3" t="s">
        <v>9521</v>
      </c>
      <c r="D11416" s="4" t="str">
        <f t="shared" si="1685"/>
        <v>12Go Link</v>
      </c>
      <c r="E11416" s="3" t="s">
        <v>3197</v>
      </c>
      <c r="K11416" s="5"/>
    </row>
    <row r="11417">
      <c r="A11417" s="3" t="s">
        <v>9447</v>
      </c>
      <c r="B11417" s="3" t="s">
        <v>9502</v>
      </c>
      <c r="C11417" s="3" t="s">
        <v>9522</v>
      </c>
      <c r="D11417" s="4" t="str">
        <f>HYPERLINK("https://12go.asia/en/travel/Danava-Travel/Benly-Cafe", "12Go Link")</f>
        <v>12Go Link</v>
      </c>
      <c r="E11417" s="3" t="s">
        <v>9374</v>
      </c>
      <c r="K11417" s="5"/>
    </row>
    <row r="11418">
      <c r="A11418" s="3" t="s">
        <v>9447</v>
      </c>
      <c r="B11418" s="3" t="s">
        <v>9502</v>
      </c>
      <c r="C11418" s="3" t="s">
        <v>9523</v>
      </c>
      <c r="D11418" s="4" t="str">
        <f>HYPERLINK("https://12go.asia/en/travel/Danava-Travel/Hue-Northern-Bus-Station", "12Go Link")</f>
        <v>12Go Link</v>
      </c>
      <c r="E11418" s="3" t="s">
        <v>9374</v>
      </c>
      <c r="K11418" s="5"/>
    </row>
    <row r="11419">
      <c r="A11419" s="3" t="s">
        <v>9447</v>
      </c>
      <c r="B11419" s="3" t="s">
        <v>9502</v>
      </c>
      <c r="C11419" s="3" t="s">
        <v>9524</v>
      </c>
      <c r="D11419" s="4" t="str">
        <f>HYPERLINK("https://12go.asia/en/travel/Danava-Travel/Nguyen-Hoang-Bus-Station", "12Go Link")</f>
        <v>12Go Link</v>
      </c>
      <c r="E11419" s="3" t="s">
        <v>9374</v>
      </c>
      <c r="K11419" s="5"/>
    </row>
    <row r="11420">
      <c r="A11420" s="3" t="s">
        <v>9447</v>
      </c>
      <c r="B11420" s="3" t="s">
        <v>9502</v>
      </c>
      <c r="C11420" s="3" t="s">
        <v>9525</v>
      </c>
      <c r="D11420" s="4" t="str">
        <f>HYPERLINK("https://12go.asia/en/travel/Danava-Travel/Toa-Kham-Marina", "12Go Link")</f>
        <v>12Go Link</v>
      </c>
      <c r="E11420" s="3" t="s">
        <v>9374</v>
      </c>
      <c r="K11420" s="5"/>
    </row>
    <row r="11421">
      <c r="A11421" s="3" t="s">
        <v>9447</v>
      </c>
      <c r="B11421" s="3" t="s">
        <v>9502</v>
      </c>
      <c r="C11421" s="3" t="s">
        <v>9526</v>
      </c>
      <c r="D11421" s="4" t="str">
        <f>HYPERLINK("https://12go.asia/en/travel/Holiday-Beach-Da-Nang-Station/Hue-45-Le-Loi-street", "12Go Link")</f>
        <v>12Go Link</v>
      </c>
      <c r="E11421" s="3" t="s">
        <v>9513</v>
      </c>
      <c r="K11421" s="5"/>
    </row>
    <row r="11422">
      <c r="A11422" s="3" t="s">
        <v>9447</v>
      </c>
      <c r="B11422" s="3" t="s">
        <v>9502</v>
      </c>
      <c r="C11422" s="3" t="s">
        <v>9527</v>
      </c>
      <c r="D11422" s="4" t="str">
        <f>HYPERLINK("https://12go.asia/en/travel/My-Khe-Beach-at-Ebisu-Sushi-Restaurant/07-Doi-Cung", "12Go Link")</f>
        <v>12Go Link</v>
      </c>
      <c r="E11422" s="3" t="s">
        <v>9515</v>
      </c>
      <c r="K11422" s="5"/>
    </row>
    <row r="11423">
      <c r="A11423" s="3" t="s">
        <v>9447</v>
      </c>
      <c r="B11423" s="3" t="s">
        <v>9502</v>
      </c>
      <c r="C11423" s="3" t="s">
        <v>9528</v>
      </c>
      <c r="D11423" s="4" t="str">
        <f>HYPERLINK("https://12go.asia/en/travel/My-Khe-Beach-at-Ebisu-Sushi-Restaurant/Hue-45-Le-Loi-street", "12Go Link")</f>
        <v>12Go Link</v>
      </c>
      <c r="E11423" s="3" t="s">
        <v>9513</v>
      </c>
      <c r="K11423" s="5"/>
    </row>
    <row r="11424">
      <c r="A11424" s="3" t="s">
        <v>9447</v>
      </c>
      <c r="B11424" s="3" t="s">
        <v>9386</v>
      </c>
      <c r="C11424" s="3" t="s">
        <v>9529</v>
      </c>
      <c r="D11424" s="4" t="str">
        <f>HYPERLINK("https://12go.asia/en/travel/70-Hoang-Van-Thai/271-Nguyen-Tu-Luc", "12Go Link")</f>
        <v>12Go Link</v>
      </c>
      <c r="E11424" s="3" t="s">
        <v>9530</v>
      </c>
      <c r="K11424" s="5"/>
    </row>
    <row r="11425">
      <c r="A11425" s="3" t="s">
        <v>9447</v>
      </c>
      <c r="B11425" s="3" t="s">
        <v>9531</v>
      </c>
      <c r="C11425" s="3" t="s">
        <v>9532</v>
      </c>
      <c r="D11425" s="4" t="str">
        <f>HYPERLINK("https://12go.asia/en/travel/Da-Nang/Mui-Ne-Hanh-Cafe", "12Go Link")</f>
        <v>12Go Link</v>
      </c>
      <c r="E11425" s="3" t="s">
        <v>9533</v>
      </c>
      <c r="K11425" s="5"/>
    </row>
    <row r="11426">
      <c r="A11426" s="3" t="s">
        <v>9447</v>
      </c>
      <c r="B11426" s="3" t="s">
        <v>9397</v>
      </c>
      <c r="C11426" s="3" t="s">
        <v>9534</v>
      </c>
      <c r="D11426" s="4" t="str">
        <f>HYPERLINK("https://12go.asia/en/travel/Da-Nang-Central-Bus-Station/Nha-Trang-Nothern-Bus-Station", "12Go Link")</f>
        <v>12Go Link</v>
      </c>
      <c r="E11426" s="3" t="s">
        <v>9535</v>
      </c>
      <c r="K11426" s="5"/>
    </row>
    <row r="11427">
      <c r="A11427" s="3" t="s">
        <v>9447</v>
      </c>
      <c r="B11427" s="3" t="s">
        <v>9397</v>
      </c>
      <c r="C11427" s="3" t="s">
        <v>9536</v>
      </c>
      <c r="D11427" s="4" t="str">
        <f>HYPERLINK("https://12go.asia/en/travel/Da-Nang-Central-Bus-Station/Nha-Trang-Southern-Bus-Station", "12Go Link")</f>
        <v>12Go Link</v>
      </c>
      <c r="E11427" s="3" t="s">
        <v>9535</v>
      </c>
      <c r="K11427" s="5"/>
    </row>
    <row r="11428">
      <c r="A11428" s="3" t="s">
        <v>9447</v>
      </c>
      <c r="B11428" s="3" t="s">
        <v>9397</v>
      </c>
      <c r="C11428" s="3" t="s">
        <v>9537</v>
      </c>
      <c r="D11428" s="4" t="str">
        <f>HYPERLINK("https://12go.asia/en/travel/Da-Nang-Hanh-Cafe-Office/32-Hung-Vuong", "12Go Link")</f>
        <v>12Go Link</v>
      </c>
      <c r="E11428" s="3" t="s">
        <v>9538</v>
      </c>
      <c r="K11428" s="5"/>
    </row>
    <row r="11429">
      <c r="A11429" s="3" t="s">
        <v>9447</v>
      </c>
      <c r="B11429" s="3" t="s">
        <v>9539</v>
      </c>
      <c r="C11429" s="3" t="s">
        <v>9540</v>
      </c>
      <c r="D11429" s="4" t="str">
        <f>HYPERLINK("https://12go.asia/en/travel/255-Le-Thach/Mikes-Travel-Agency", "12Go Link")</f>
        <v>12Go Link</v>
      </c>
      <c r="E11429" s="3" t="s">
        <v>9449</v>
      </c>
      <c r="K11429" s="5"/>
    </row>
    <row r="11430">
      <c r="A11430" s="3" t="s">
        <v>9447</v>
      </c>
      <c r="B11430" s="3" t="s">
        <v>9539</v>
      </c>
      <c r="C11430" s="3" t="s">
        <v>9541</v>
      </c>
      <c r="D11430" s="4" t="str">
        <f>HYPERLINK("https://12go.asia/en/travel/255-Le-Thach/Ninh-Phong-Ninh-Binh", "12Go Link")</f>
        <v>12Go Link</v>
      </c>
      <c r="E11430" s="3" t="s">
        <v>9449</v>
      </c>
      <c r="K11430" s="5"/>
    </row>
    <row r="11431">
      <c r="A11431" s="3" t="s">
        <v>9447</v>
      </c>
      <c r="B11431" s="3" t="s">
        <v>9539</v>
      </c>
      <c r="C11431" s="3" t="s">
        <v>9542</v>
      </c>
      <c r="D11431" s="4" t="str">
        <f>HYPERLINK("https://12go.asia/en/travel/255-Le-Thach/Tam-Coc-NinhBinh", "12Go Link")</f>
        <v>12Go Link</v>
      </c>
      <c r="E11431" s="3" t="s">
        <v>9449</v>
      </c>
      <c r="K11431" s="5"/>
    </row>
    <row r="11432">
      <c r="A11432" s="3" t="s">
        <v>9447</v>
      </c>
      <c r="B11432" s="3" t="s">
        <v>9539</v>
      </c>
      <c r="C11432" s="3" t="s">
        <v>9543</v>
      </c>
      <c r="D11432" s="4" t="str">
        <f>HYPERLINK("https://12go.asia/en/travel/28-February-3rd-Street/Mikes-Travel-Agency", "12Go Link")</f>
        <v>12Go Link</v>
      </c>
      <c r="E11432" s="3" t="s">
        <v>9544</v>
      </c>
      <c r="K11432" s="5"/>
    </row>
    <row r="11433">
      <c r="A11433" s="3" t="s">
        <v>9447</v>
      </c>
      <c r="B11433" s="3" t="s">
        <v>9539</v>
      </c>
      <c r="C11433" s="3" t="s">
        <v>9545</v>
      </c>
      <c r="D11433" s="4" t="str">
        <f>HYPERLINK("https://12go.asia/en/travel/28-February-3rd-Street/Mr-Khanh-Travel-Agency-Ninh-Binh", "12Go Link")</f>
        <v>12Go Link</v>
      </c>
      <c r="E11433" s="3" t="s">
        <v>9546</v>
      </c>
      <c r="K11433" s="5"/>
    </row>
    <row r="11434">
      <c r="A11434" s="3" t="s">
        <v>9447</v>
      </c>
      <c r="B11434" s="3" t="s">
        <v>9539</v>
      </c>
      <c r="C11434" s="3" t="s">
        <v>9547</v>
      </c>
      <c r="D11434" s="4" t="str">
        <f t="shared" ref="D11434:D11435" si="1686">HYPERLINK("https://12go.asia/en/travel/41-February-3rd-Street/Mikes-Travel-Agency", "12Go Link")</f>
        <v>12Go Link</v>
      </c>
      <c r="E11434" s="3" t="s">
        <v>9374</v>
      </c>
      <c r="K11434" s="5"/>
    </row>
    <row r="11435">
      <c r="A11435" s="3" t="s">
        <v>9447</v>
      </c>
      <c r="B11435" s="3" t="s">
        <v>9539</v>
      </c>
      <c r="C11435" s="3" t="s">
        <v>9547</v>
      </c>
      <c r="D11435" s="4" t="str">
        <f t="shared" si="1686"/>
        <v>12Go Link</v>
      </c>
      <c r="E11435" s="3" t="s">
        <v>9470</v>
      </c>
      <c r="K11435" s="5"/>
    </row>
    <row r="11436">
      <c r="A11436" s="3" t="s">
        <v>9447</v>
      </c>
      <c r="B11436" s="3" t="s">
        <v>9539</v>
      </c>
      <c r="C11436" s="3" t="s">
        <v>9548</v>
      </c>
      <c r="D11436" s="4" t="str">
        <f t="shared" ref="D11436:D11437" si="1687">HYPERLINK("https://12go.asia/en/travel/41-February-3rd-Street/Mr-Khanh-Travel-Agency-Ninh-Binh", "12Go Link")</f>
        <v>12Go Link</v>
      </c>
      <c r="E11436" s="3" t="s">
        <v>9374</v>
      </c>
      <c r="K11436" s="5"/>
    </row>
    <row r="11437">
      <c r="A11437" s="3" t="s">
        <v>9447</v>
      </c>
      <c r="B11437" s="3" t="s">
        <v>9539</v>
      </c>
      <c r="C11437" s="3" t="s">
        <v>9548</v>
      </c>
      <c r="D11437" s="4" t="str">
        <f t="shared" si="1687"/>
        <v>12Go Link</v>
      </c>
      <c r="E11437" s="3" t="s">
        <v>9470</v>
      </c>
      <c r="K11437" s="5"/>
    </row>
    <row r="11438">
      <c r="A11438" s="3" t="s">
        <v>9447</v>
      </c>
      <c r="B11438" s="3" t="s">
        <v>9539</v>
      </c>
      <c r="C11438" s="3" t="s">
        <v>9549</v>
      </c>
      <c r="D11438" s="4" t="str">
        <f t="shared" ref="D11438:D11439" si="1688">HYPERLINK("https://12go.asia/en/travel/41-February-3rd-Street/Ninh-Phong-Ninh-Binh", "12Go Link")</f>
        <v>12Go Link</v>
      </c>
      <c r="E11438" s="3" t="s">
        <v>9374</v>
      </c>
      <c r="K11438" s="5"/>
    </row>
    <row r="11439">
      <c r="A11439" s="3" t="s">
        <v>9447</v>
      </c>
      <c r="B11439" s="3" t="s">
        <v>9539</v>
      </c>
      <c r="C11439" s="3" t="s">
        <v>9549</v>
      </c>
      <c r="D11439" s="4" t="str">
        <f t="shared" si="1688"/>
        <v>12Go Link</v>
      </c>
      <c r="E11439" s="3" t="s">
        <v>9470</v>
      </c>
      <c r="K11439" s="5"/>
    </row>
    <row r="11440">
      <c r="A11440" s="3" t="s">
        <v>9447</v>
      </c>
      <c r="B11440" s="3" t="s">
        <v>9539</v>
      </c>
      <c r="C11440" s="3" t="s">
        <v>9550</v>
      </c>
      <c r="D11440" s="4" t="str">
        <f>HYPERLINK("https://12go.asia/en/travel/65-February-3rd-Street/Ninh-Binh-Central-Hotel", "12Go Link")</f>
        <v>12Go Link</v>
      </c>
      <c r="E11440" s="3" t="s">
        <v>9474</v>
      </c>
      <c r="K11440" s="5"/>
    </row>
    <row r="11441">
      <c r="A11441" s="3" t="s">
        <v>9447</v>
      </c>
      <c r="B11441" s="3" t="s">
        <v>9539</v>
      </c>
      <c r="C11441" s="3" t="s">
        <v>9551</v>
      </c>
      <c r="D11441" s="4" t="str">
        <f t="shared" ref="D11441:D11442" si="1689">HYPERLINK("https://12go.asia/en/travel/95-Hoang-Thi-Loan/Ninh-Phong-Ninh-Binh", "12Go Link")</f>
        <v>12Go Link</v>
      </c>
      <c r="E11441" s="3" t="s">
        <v>9456</v>
      </c>
      <c r="K11441" s="5"/>
    </row>
    <row r="11442">
      <c r="A11442" s="3" t="s">
        <v>9447</v>
      </c>
      <c r="B11442" s="3" t="s">
        <v>9539</v>
      </c>
      <c r="C11442" s="3" t="s">
        <v>9551</v>
      </c>
      <c r="D11442" s="4" t="str">
        <f t="shared" si="1689"/>
        <v>12Go Link</v>
      </c>
      <c r="E11442" s="3" t="s">
        <v>9412</v>
      </c>
      <c r="K11442" s="5"/>
    </row>
    <row r="11443">
      <c r="A11443" s="3" t="s">
        <v>9447</v>
      </c>
      <c r="B11443" s="3" t="s">
        <v>9539</v>
      </c>
      <c r="C11443" s="3" t="s">
        <v>9552</v>
      </c>
      <c r="D11443" s="4" t="str">
        <f t="shared" ref="D11443:D11444" si="1690">HYPERLINK("https://12go.asia/en/travel/96-Hoang-Thi-Loan/Ninh-Phong-Ninh-Binh", "12Go Link")</f>
        <v>12Go Link</v>
      </c>
      <c r="E11443" s="3" t="s">
        <v>9456</v>
      </c>
      <c r="K11443" s="5"/>
    </row>
    <row r="11444">
      <c r="A11444" s="3" t="s">
        <v>9447</v>
      </c>
      <c r="B11444" s="3" t="s">
        <v>9539</v>
      </c>
      <c r="C11444" s="3" t="s">
        <v>9552</v>
      </c>
      <c r="D11444" s="4" t="str">
        <f t="shared" si="1690"/>
        <v>12Go Link</v>
      </c>
      <c r="E11444" s="3" t="s">
        <v>9412</v>
      </c>
      <c r="K11444" s="5"/>
    </row>
    <row r="11445">
      <c r="A11445" s="3" t="s">
        <v>9447</v>
      </c>
      <c r="B11445" s="3" t="s">
        <v>9539</v>
      </c>
      <c r="C11445" s="3" t="s">
        <v>9553</v>
      </c>
      <c r="D11445" s="4" t="str">
        <f>HYPERLINK("https://12go.asia/en/travel/96-Hoang-Thi-Loan/Tam-Coc-NinhBinh", "12Go Link")</f>
        <v>12Go Link</v>
      </c>
      <c r="E11445" s="3" t="s">
        <v>9412</v>
      </c>
      <c r="K11445" s="5"/>
    </row>
    <row r="11446">
      <c r="A11446" s="3" t="s">
        <v>9447</v>
      </c>
      <c r="B11446" s="3" t="s">
        <v>9539</v>
      </c>
      <c r="C11446" s="3" t="s">
        <v>9554</v>
      </c>
      <c r="D11446" s="4" t="str">
        <f>HYPERLINK("https://12go.asia/en/travel/Da-Nang-Bus-Central-Station/Mikes-Travel-Agency", "12Go Link")</f>
        <v>12Go Link</v>
      </c>
      <c r="E11446" s="3" t="s">
        <v>9449</v>
      </c>
      <c r="K11446" s="5"/>
    </row>
    <row r="11447">
      <c r="A11447" s="3" t="s">
        <v>9447</v>
      </c>
      <c r="B11447" s="3" t="s">
        <v>9539</v>
      </c>
      <c r="C11447" s="3" t="s">
        <v>9555</v>
      </c>
      <c r="D11447" s="4" t="str">
        <f t="shared" ref="D11447:D11448" si="1691">HYPERLINK("https://12go.asia/en/travel/Da-Nang-Bus-Central-Station/Ninh-Phong-Ninh-Binh", "12Go Link")</f>
        <v>12Go Link</v>
      </c>
      <c r="E11447" s="3" t="s">
        <v>9456</v>
      </c>
      <c r="K11447" s="5"/>
    </row>
    <row r="11448">
      <c r="A11448" s="3" t="s">
        <v>9447</v>
      </c>
      <c r="B11448" s="3" t="s">
        <v>9539</v>
      </c>
      <c r="C11448" s="3" t="s">
        <v>9555</v>
      </c>
      <c r="D11448" s="4" t="str">
        <f t="shared" si="1691"/>
        <v>12Go Link</v>
      </c>
      <c r="E11448" s="3" t="s">
        <v>9412</v>
      </c>
      <c r="K11448" s="5"/>
    </row>
    <row r="11449">
      <c r="A11449" s="3" t="s">
        <v>9447</v>
      </c>
      <c r="B11449" s="3" t="s">
        <v>9539</v>
      </c>
      <c r="C11449" s="3" t="s">
        <v>9556</v>
      </c>
      <c r="D11449" s="4" t="str">
        <f>HYPERLINK("https://12go.asia/en/travel/Da-Nang-Bus-Central-Station/Tam-Coc", "12Go Link")</f>
        <v>12Go Link</v>
      </c>
      <c r="E11449" s="3" t="s">
        <v>9449</v>
      </c>
      <c r="K11449" s="5"/>
    </row>
    <row r="11450">
      <c r="A11450" s="3" t="s">
        <v>9447</v>
      </c>
      <c r="B11450" s="3" t="s">
        <v>9539</v>
      </c>
      <c r="C11450" s="3" t="s">
        <v>9557</v>
      </c>
      <c r="D11450" s="4" t="str">
        <f>HYPERLINK("https://12go.asia/en/travel/Da-Nang-Bus-Central-Station/Tam-Coc-NinhBinh", "12Go Link")</f>
        <v>12Go Link</v>
      </c>
      <c r="E11450" s="3" t="s">
        <v>9412</v>
      </c>
      <c r="K11450" s="5"/>
    </row>
    <row r="11451">
      <c r="A11451" s="3" t="s">
        <v>9447</v>
      </c>
      <c r="B11451" s="3" t="s">
        <v>9539</v>
      </c>
      <c r="C11451" s="3" t="s">
        <v>9558</v>
      </c>
      <c r="D11451" s="4" t="str">
        <f>HYPERLINK("https://12go.asia/en/travel/Da-Nang-Bus-Station/Mikes-Travel-Agency", "12Go Link")</f>
        <v>12Go Link</v>
      </c>
      <c r="E11451" s="3" t="s">
        <v>9449</v>
      </c>
      <c r="K11451" s="5"/>
    </row>
    <row r="11452">
      <c r="A11452" s="3" t="s">
        <v>9447</v>
      </c>
      <c r="B11452" s="3" t="s">
        <v>9539</v>
      </c>
      <c r="C11452" s="3" t="s">
        <v>9559</v>
      </c>
      <c r="D11452" s="4" t="str">
        <f>HYPERLINK("https://12go.asia/en/travel/Da-Nang-Bus-Station/Ninh-Phong-Ninh-Binh", "12Go Link")</f>
        <v>12Go Link</v>
      </c>
      <c r="E11452" s="3" t="s">
        <v>9449</v>
      </c>
      <c r="K11452" s="5"/>
    </row>
    <row r="11453">
      <c r="A11453" s="3" t="s">
        <v>9447</v>
      </c>
      <c r="B11453" s="3" t="s">
        <v>9539</v>
      </c>
      <c r="C11453" s="3" t="s">
        <v>9560</v>
      </c>
      <c r="D11453" s="4" t="str">
        <f>HYPERLINK("https://12go.asia/en/travel/Da-Nang-Bus-Station/Tam-Coc-NinhBinh", "12Go Link")</f>
        <v>12Go Link</v>
      </c>
      <c r="E11453" s="3" t="s">
        <v>9449</v>
      </c>
      <c r="K11453" s="5"/>
    </row>
    <row r="11454">
      <c r="A11454" s="3" t="s">
        <v>9447</v>
      </c>
      <c r="B11454" s="3" t="s">
        <v>9561</v>
      </c>
      <c r="C11454" s="3" t="s">
        <v>9562</v>
      </c>
      <c r="D11454" s="4" t="str">
        <f>HYPERLINK("https://12go.asia/en/travel/255-Le-Thach/Central-Backpackers-Hostel-Phong-Nha", "12Go Link")</f>
        <v>12Go Link</v>
      </c>
      <c r="E11454" s="3" t="s">
        <v>9449</v>
      </c>
      <c r="K11454" s="5"/>
    </row>
    <row r="11455">
      <c r="A11455" s="3" t="s">
        <v>9447</v>
      </c>
      <c r="B11455" s="3" t="s">
        <v>9561</v>
      </c>
      <c r="C11455" s="3" t="s">
        <v>9563</v>
      </c>
      <c r="D11455" s="4" t="str">
        <f>HYPERLINK("https://12go.asia/en/travel/255-Le-Thach/Nam-Anh-Hotel", "12Go Link")</f>
        <v>12Go Link</v>
      </c>
      <c r="E11455" s="3" t="s">
        <v>9449</v>
      </c>
      <c r="K11455" s="5"/>
    </row>
    <row r="11456">
      <c r="A11456" s="3" t="s">
        <v>9447</v>
      </c>
      <c r="B11456" s="3" t="s">
        <v>9561</v>
      </c>
      <c r="C11456" s="3" t="s">
        <v>9564</v>
      </c>
      <c r="D11456" s="4" t="str">
        <f>HYPERLINK("https://12go.asia/en/travel/255-Le-Thach/Thien-Phu-Hostel", "12Go Link")</f>
        <v>12Go Link</v>
      </c>
      <c r="E11456" s="3" t="s">
        <v>9449</v>
      </c>
      <c r="K11456" s="5"/>
    </row>
    <row r="11457">
      <c r="A11457" s="3" t="s">
        <v>9447</v>
      </c>
      <c r="B11457" s="3" t="s">
        <v>9561</v>
      </c>
      <c r="C11457" s="3" t="s">
        <v>9565</v>
      </c>
      <c r="D11457" s="4" t="str">
        <f t="shared" ref="D11457:D11458" si="1692">HYPERLINK("https://12go.asia/en/travel/41-February-3rd-Street/Nam-Anh-Hotel", "12Go Link")</f>
        <v>12Go Link</v>
      </c>
      <c r="E11457" s="3" t="s">
        <v>9374</v>
      </c>
      <c r="K11457" s="5"/>
    </row>
    <row r="11458">
      <c r="A11458" s="3" t="s">
        <v>9447</v>
      </c>
      <c r="B11458" s="3" t="s">
        <v>9561</v>
      </c>
      <c r="C11458" s="3" t="s">
        <v>9565</v>
      </c>
      <c r="D11458" s="4" t="str">
        <f t="shared" si="1692"/>
        <v>12Go Link</v>
      </c>
      <c r="E11458" s="3" t="s">
        <v>9470</v>
      </c>
      <c r="K11458" s="5"/>
    </row>
    <row r="11459">
      <c r="A11459" s="3" t="s">
        <v>9447</v>
      </c>
      <c r="B11459" s="3" t="s">
        <v>9561</v>
      </c>
      <c r="C11459" s="3" t="s">
        <v>9566</v>
      </c>
      <c r="D11459" s="4" t="str">
        <f>HYPERLINK("https://12go.asia/en/travel/Da-Nang/Nam-Anh-Hotel", "12Go Link")</f>
        <v>12Go Link</v>
      </c>
      <c r="E11459" s="3" t="s">
        <v>9515</v>
      </c>
      <c r="K11459" s="5"/>
    </row>
    <row r="11460">
      <c r="A11460" s="3" t="s">
        <v>9447</v>
      </c>
      <c r="B11460" s="3" t="s">
        <v>9561</v>
      </c>
      <c r="C11460" s="3" t="s">
        <v>9567</v>
      </c>
      <c r="D11460" s="4" t="str">
        <f t="shared" ref="D11460:D11464" si="1693">HYPERLINK("https://12go.asia/en/travel/Da-Nang-Airport/Phong-Nha-Cave", "12Go Link")</f>
        <v>12Go Link</v>
      </c>
      <c r="E11460" s="3" t="s">
        <v>222</v>
      </c>
      <c r="K11460" s="5"/>
    </row>
    <row r="11461">
      <c r="A11461" s="3" t="s">
        <v>9447</v>
      </c>
      <c r="B11461" s="3" t="s">
        <v>9561</v>
      </c>
      <c r="C11461" s="3" t="s">
        <v>9567</v>
      </c>
      <c r="D11461" s="4" t="str">
        <f t="shared" si="1693"/>
        <v>12Go Link</v>
      </c>
      <c r="E11461" s="3" t="s">
        <v>6599</v>
      </c>
      <c r="K11461" s="5"/>
    </row>
    <row r="11462">
      <c r="A11462" s="3" t="s">
        <v>9447</v>
      </c>
      <c r="B11462" s="3" t="s">
        <v>9561</v>
      </c>
      <c r="C11462" s="3" t="s">
        <v>9567</v>
      </c>
      <c r="D11462" s="4" t="str">
        <f t="shared" si="1693"/>
        <v>12Go Link</v>
      </c>
      <c r="E11462" s="3" t="s">
        <v>9395</v>
      </c>
      <c r="K11462" s="5"/>
    </row>
    <row r="11463">
      <c r="A11463" s="3" t="s">
        <v>9447</v>
      </c>
      <c r="B11463" s="3" t="s">
        <v>9561</v>
      </c>
      <c r="C11463" s="3" t="s">
        <v>9567</v>
      </c>
      <c r="D11463" s="4" t="str">
        <f t="shared" si="1693"/>
        <v>12Go Link</v>
      </c>
      <c r="E11463" s="3" t="s">
        <v>9396</v>
      </c>
      <c r="K11463" s="5"/>
    </row>
    <row r="11464">
      <c r="A11464" s="3" t="s">
        <v>9447</v>
      </c>
      <c r="B11464" s="3" t="s">
        <v>9561</v>
      </c>
      <c r="C11464" s="3" t="s">
        <v>9567</v>
      </c>
      <c r="D11464" s="4" t="str">
        <f t="shared" si="1693"/>
        <v>12Go Link</v>
      </c>
      <c r="E11464" s="3" t="s">
        <v>7470</v>
      </c>
      <c r="K11464" s="5"/>
    </row>
    <row r="11465">
      <c r="A11465" s="3" t="s">
        <v>9447</v>
      </c>
      <c r="B11465" s="3" t="s">
        <v>9561</v>
      </c>
      <c r="C11465" s="3" t="s">
        <v>9568</v>
      </c>
      <c r="D11465" s="4" t="str">
        <f>HYPERLINK("https://12go.asia/en/travel/Da-Nang-Bus-Station/Central-Backpackers-Hostel-Phong-Nha", "12Go Link")</f>
        <v>12Go Link</v>
      </c>
      <c r="E11465" s="3" t="s">
        <v>9449</v>
      </c>
      <c r="K11465" s="5"/>
    </row>
    <row r="11466">
      <c r="A11466" s="3" t="s">
        <v>9447</v>
      </c>
      <c r="B11466" s="3" t="s">
        <v>9561</v>
      </c>
      <c r="C11466" s="3" t="s">
        <v>9569</v>
      </c>
      <c r="D11466" s="4" t="str">
        <f>HYPERLINK("https://12go.asia/en/travel/Da-Nang-Bus-Station/Nam-Anh-Hotel", "12Go Link")</f>
        <v>12Go Link</v>
      </c>
      <c r="E11466" s="3" t="s">
        <v>9449</v>
      </c>
      <c r="K11466" s="5"/>
    </row>
    <row r="11467">
      <c r="A11467" s="3" t="s">
        <v>9447</v>
      </c>
      <c r="B11467" s="3" t="s">
        <v>9561</v>
      </c>
      <c r="C11467" s="3" t="s">
        <v>9570</v>
      </c>
      <c r="D11467" s="4" t="str">
        <f>HYPERLINK("https://12go.asia/en/travel/Da-Nang-Bus-Station/Thien-Phu-Hostel", "12Go Link")</f>
        <v>12Go Link</v>
      </c>
      <c r="E11467" s="3" t="s">
        <v>9449</v>
      </c>
      <c r="K11467" s="5"/>
    </row>
    <row r="11468">
      <c r="A11468" s="3" t="s">
        <v>9447</v>
      </c>
      <c r="B11468" s="3" t="s">
        <v>9561</v>
      </c>
      <c r="C11468" s="3" t="s">
        <v>9571</v>
      </c>
      <c r="D11468" s="4" t="str">
        <f>HYPERLINK("https://12go.asia/en/travel/My-Khe-Beach-at-Ebisu-Sushi-Restaurant/Nam-Anh-Hotel", "12Go Link")</f>
        <v>12Go Link</v>
      </c>
      <c r="E11468" s="3" t="s">
        <v>9515</v>
      </c>
      <c r="K11468" s="5"/>
    </row>
    <row r="11469">
      <c r="A11469" s="3" t="s">
        <v>9447</v>
      </c>
      <c r="B11469" s="3" t="s">
        <v>9561</v>
      </c>
      <c r="C11469" s="3" t="s">
        <v>9572</v>
      </c>
      <c r="D11469" s="4" t="str">
        <f>HYPERLINK("https://12go.asia/en/travel/SDT-Da-Nang-Office/SDT-Phong-Nha-Office", "12Go Link")</f>
        <v>12Go Link</v>
      </c>
      <c r="E11469" s="3" t="s">
        <v>9465</v>
      </c>
      <c r="K11469" s="5"/>
    </row>
    <row r="11470">
      <c r="A11470" s="3" t="s">
        <v>9447</v>
      </c>
      <c r="B11470" s="3" t="s">
        <v>9573</v>
      </c>
      <c r="C11470" s="3" t="s">
        <v>9574</v>
      </c>
      <c r="D11470" s="4" t="str">
        <f>HYPERLINK("https://12go.asia/en/travel/96-Hoang-Thi-Loan/Tbus-Halong", "12Go Link")</f>
        <v>12Go Link</v>
      </c>
      <c r="E11470" s="3" t="s">
        <v>9456</v>
      </c>
      <c r="K11470" s="5"/>
    </row>
    <row r="11471">
      <c r="A11471" s="3" t="s">
        <v>9447</v>
      </c>
      <c r="B11471" s="3" t="s">
        <v>9573</v>
      </c>
      <c r="C11471" s="3" t="s">
        <v>9575</v>
      </c>
      <c r="D11471" s="4" t="str">
        <f>HYPERLINK("https://12go.asia/en/travel/96-Hoang-Thi-Loan/Tbus-Tuanchau", "12Go Link")</f>
        <v>12Go Link</v>
      </c>
      <c r="E11471" s="3" t="s">
        <v>9456</v>
      </c>
      <c r="K11471" s="5"/>
    </row>
    <row r="11472">
      <c r="A11472" s="3" t="s">
        <v>9447</v>
      </c>
      <c r="B11472" s="3" t="s">
        <v>9573</v>
      </c>
      <c r="C11472" s="3" t="s">
        <v>9576</v>
      </c>
      <c r="D11472" s="4" t="str">
        <f>HYPERLINK("https://12go.asia/en/travel/Da-Nang/Tbus-Halong", "12Go Link")</f>
        <v>12Go Link</v>
      </c>
      <c r="E11472" s="3" t="s">
        <v>9515</v>
      </c>
      <c r="K11472" s="5"/>
    </row>
    <row r="11473">
      <c r="A11473" s="3" t="s">
        <v>9447</v>
      </c>
      <c r="B11473" s="3" t="s">
        <v>9573</v>
      </c>
      <c r="C11473" s="3" t="s">
        <v>9577</v>
      </c>
      <c r="D11473" s="4" t="str">
        <f>HYPERLINK("https://12go.asia/en/travel/Da-Nang/Tuan-Chau", "12Go Link")</f>
        <v>12Go Link</v>
      </c>
      <c r="E11473" s="3" t="s">
        <v>9515</v>
      </c>
      <c r="K11473" s="5"/>
    </row>
    <row r="11474">
      <c r="A11474" s="3" t="s">
        <v>9447</v>
      </c>
      <c r="B11474" s="3" t="s">
        <v>9573</v>
      </c>
      <c r="C11474" s="3" t="s">
        <v>9578</v>
      </c>
      <c r="D11474" s="4" t="str">
        <f>HYPERLINK("https://12go.asia/en/travel/Da-Nang-Bus-Central-Station/Tbus-Halong", "12Go Link")</f>
        <v>12Go Link</v>
      </c>
      <c r="E11474" s="3" t="s">
        <v>9456</v>
      </c>
      <c r="K11474" s="5"/>
    </row>
    <row r="11475">
      <c r="A11475" s="3" t="s">
        <v>9447</v>
      </c>
      <c r="B11475" s="3" t="s">
        <v>9573</v>
      </c>
      <c r="C11475" s="3" t="s">
        <v>9579</v>
      </c>
      <c r="D11475" s="4" t="str">
        <f>HYPERLINK("https://12go.asia/en/travel/Da-Nang-Bus-Central-Station/Tbus-Tuanchau", "12Go Link")</f>
        <v>12Go Link</v>
      </c>
      <c r="E11475" s="3" t="s">
        <v>9456</v>
      </c>
      <c r="K11475" s="5"/>
    </row>
    <row r="11476">
      <c r="A11476" s="3" t="s">
        <v>9447</v>
      </c>
      <c r="B11476" s="3" t="s">
        <v>9573</v>
      </c>
      <c r="C11476" s="3" t="s">
        <v>9580</v>
      </c>
      <c r="D11476" s="4" t="str">
        <f>HYPERLINK("https://12go.asia/en/travel/My-Khe-Beach-at-Ebisu-Sushi-Restaurant/Tbus-Halong", "12Go Link")</f>
        <v>12Go Link</v>
      </c>
      <c r="E11476" s="3" t="s">
        <v>9515</v>
      </c>
      <c r="K11476" s="5"/>
    </row>
    <row r="11477">
      <c r="A11477" s="3" t="s">
        <v>9447</v>
      </c>
      <c r="B11477" s="3" t="s">
        <v>9573</v>
      </c>
      <c r="C11477" s="3" t="s">
        <v>9581</v>
      </c>
      <c r="D11477" s="4" t="str">
        <f>HYPERLINK("https://12go.asia/en/travel/My-Khe-Beach-at-Ebisu-Sushi-Restaurant/Tuan-Chau", "12Go Link")</f>
        <v>12Go Link</v>
      </c>
      <c r="E11477" s="3" t="s">
        <v>9515</v>
      </c>
      <c r="K11477" s="5"/>
    </row>
    <row r="11478">
      <c r="A11478" s="3" t="s">
        <v>9447</v>
      </c>
      <c r="B11478" s="3" t="s">
        <v>9582</v>
      </c>
      <c r="C11478" s="3" t="s">
        <v>9583</v>
      </c>
      <c r="D11478" s="4" t="str">
        <f>HYPERLINK("https://12go.asia/en/travel/90-Hoang-Thi-Loan/234-Tay-Son", "12Go Link")</f>
        <v>12Go Link</v>
      </c>
      <c r="E11478" s="3" t="s">
        <v>9495</v>
      </c>
      <c r="K11478" s="5"/>
    </row>
    <row r="11479">
      <c r="A11479" s="3" t="s">
        <v>9447</v>
      </c>
      <c r="B11479" s="3" t="s">
        <v>9584</v>
      </c>
      <c r="C11479" s="3" t="s">
        <v>9585</v>
      </c>
      <c r="D11479" s="4" t="str">
        <f>HYPERLINK("https://12go.asia/en/travel/SDT-Da-Nang-Office/Gold-Hotel-Ninh-Binh", "12Go Link")</f>
        <v>12Go Link</v>
      </c>
      <c r="E11479" s="3" t="s">
        <v>9449</v>
      </c>
      <c r="K11479" s="5"/>
    </row>
    <row r="11480">
      <c r="A11480" s="3" t="s">
        <v>9586</v>
      </c>
      <c r="B11480" s="3" t="s">
        <v>9502</v>
      </c>
      <c r="C11480" s="3" t="s">
        <v>9587</v>
      </c>
      <c r="D11480" s="4" t="str">
        <f>HYPERLINK("https://12go.asia/en/travel/217-Mot-Thang-Tu/Luxury-no78-Tran-Quang-Khai", "12Go Link")</f>
        <v>12Go Link</v>
      </c>
      <c r="E11480" s="3" t="s">
        <v>9412</v>
      </c>
      <c r="K11480" s="5"/>
    </row>
    <row r="11481">
      <c r="A11481" s="3" t="s">
        <v>9463</v>
      </c>
      <c r="B11481" s="3" t="s">
        <v>9447</v>
      </c>
      <c r="C11481" s="3" t="s">
        <v>9588</v>
      </c>
      <c r="D11481" s="4" t="str">
        <f>HYPERLINK("https://12go.asia/en/travel/Thang-Long-Hotel/SDT-Da-Nang-Office", "12Go Link")</f>
        <v>12Go Link</v>
      </c>
      <c r="E11481" s="3" t="s">
        <v>9465</v>
      </c>
      <c r="K11481" s="5"/>
    </row>
    <row r="11482">
      <c r="A11482" s="3" t="s">
        <v>9463</v>
      </c>
      <c r="B11482" s="3" t="s">
        <v>9466</v>
      </c>
      <c r="C11482" s="3" t="s">
        <v>9589</v>
      </c>
      <c r="D11482" s="4" t="str">
        <f>HYPERLINK("https://12go.asia/en/travel/Thang-Long-Hotel/Nuoc-Ngam-Hanoi", "12Go Link")</f>
        <v>12Go Link</v>
      </c>
      <c r="E11482" s="3" t="s">
        <v>9449</v>
      </c>
      <c r="K11482" s="5"/>
    </row>
    <row r="11483">
      <c r="A11483" s="3" t="s">
        <v>9463</v>
      </c>
      <c r="B11483" s="3" t="s">
        <v>9487</v>
      </c>
      <c r="C11483" s="3" t="s">
        <v>9590</v>
      </c>
      <c r="D11483" s="4" t="str">
        <f>HYPERLINK("https://12go.asia/en/travel/Thang-Long-Hotel/Pool-Side-Villa", "12Go Link")</f>
        <v>12Go Link</v>
      </c>
      <c r="E11483" s="3" t="s">
        <v>9591</v>
      </c>
      <c r="K11483" s="5"/>
    </row>
    <row r="11484">
      <c r="A11484" s="3" t="s">
        <v>9463</v>
      </c>
      <c r="B11484" s="3" t="s">
        <v>9502</v>
      </c>
      <c r="C11484" s="3" t="s">
        <v>9592</v>
      </c>
      <c r="D11484" s="4" t="str">
        <f>HYPERLINK("https://12go.asia/en/travel/Thang-Long-Hotel/Gas-Station-24", "12Go Link")</f>
        <v>12Go Link</v>
      </c>
      <c r="E11484" s="3" t="s">
        <v>9465</v>
      </c>
      <c r="K11484" s="5"/>
    </row>
    <row r="11485">
      <c r="A11485" s="3" t="s">
        <v>9463</v>
      </c>
      <c r="B11485" s="3" t="s">
        <v>9584</v>
      </c>
      <c r="C11485" s="3" t="s">
        <v>9593</v>
      </c>
      <c r="D11485" s="4" t="str">
        <f>HYPERLINK("https://12go.asia/en/travel/Thang-Long-Hotel/Gold-Hotel-Ninh-Binh", "12Go Link")</f>
        <v>12Go Link</v>
      </c>
      <c r="E11485" s="3" t="s">
        <v>9449</v>
      </c>
      <c r="K11485" s="5"/>
    </row>
    <row r="11486">
      <c r="A11486" s="3" t="s">
        <v>9410</v>
      </c>
      <c r="B11486" s="3" t="s">
        <v>9372</v>
      </c>
      <c r="C11486" s="3" t="s">
        <v>9594</v>
      </c>
      <c r="D11486" s="4" t="str">
        <f t="shared" ref="D11486:D11487" si="1694">HYPERLINK("https://12go.asia/en/travel/Park-30-4-Bien-Hoa/190-Xo-Viet-Nghe-Tinh", "12Go Link")</f>
        <v>12Go Link</v>
      </c>
      <c r="E11486" s="3" t="s">
        <v>9374</v>
      </c>
      <c r="K11486" s="5"/>
    </row>
    <row r="11487">
      <c r="A11487" s="3" t="s">
        <v>9410</v>
      </c>
      <c r="B11487" s="3" t="s">
        <v>9372</v>
      </c>
      <c r="C11487" s="3" t="s">
        <v>9594</v>
      </c>
      <c r="D11487" s="4" t="str">
        <f t="shared" si="1694"/>
        <v>12Go Link</v>
      </c>
      <c r="E11487" s="3" t="s">
        <v>9412</v>
      </c>
      <c r="K11487" s="5"/>
    </row>
    <row r="11488">
      <c r="A11488" s="3" t="s">
        <v>9410</v>
      </c>
      <c r="B11488" s="3" t="s">
        <v>9372</v>
      </c>
      <c r="C11488" s="3" t="s">
        <v>9595</v>
      </c>
      <c r="D11488" s="4" t="str">
        <f t="shared" ref="D11488:D11489" si="1695">HYPERLINK("https://12go.asia/en/travel/Park-30-4-Bien-Hoa/28-Tran-Hung-Dao", "12Go Link")</f>
        <v>12Go Link</v>
      </c>
      <c r="E11488" s="3" t="s">
        <v>9374</v>
      </c>
      <c r="K11488" s="5"/>
    </row>
    <row r="11489">
      <c r="A11489" s="3" t="s">
        <v>9410</v>
      </c>
      <c r="B11489" s="3" t="s">
        <v>9372</v>
      </c>
      <c r="C11489" s="3" t="s">
        <v>9595</v>
      </c>
      <c r="D11489" s="4" t="str">
        <f t="shared" si="1695"/>
        <v>12Go Link</v>
      </c>
      <c r="E11489" s="3" t="s">
        <v>9412</v>
      </c>
      <c r="K11489" s="5"/>
    </row>
    <row r="11490">
      <c r="A11490" s="3" t="s">
        <v>9410</v>
      </c>
      <c r="B11490" s="3" t="s">
        <v>9372</v>
      </c>
      <c r="C11490" s="3" t="s">
        <v>9596</v>
      </c>
      <c r="D11490" s="4" t="str">
        <f t="shared" ref="D11490:D11491" si="1696">HYPERLINK("https://12go.asia/en/travel/Park-30-4-Bien-Hoa/Da-Lat-Bus-Station", "12Go Link")</f>
        <v>12Go Link</v>
      </c>
      <c r="E11490" s="3" t="s">
        <v>9374</v>
      </c>
      <c r="K11490" s="5"/>
    </row>
    <row r="11491">
      <c r="A11491" s="3" t="s">
        <v>9410</v>
      </c>
      <c r="B11491" s="3" t="s">
        <v>9372</v>
      </c>
      <c r="C11491" s="3" t="s">
        <v>9596</v>
      </c>
      <c r="D11491" s="4" t="str">
        <f t="shared" si="1696"/>
        <v>12Go Link</v>
      </c>
      <c r="E11491" s="3" t="s">
        <v>9412</v>
      </c>
      <c r="K11491" s="5"/>
    </row>
    <row r="11492">
      <c r="A11492" s="3" t="s">
        <v>9410</v>
      </c>
      <c r="B11492" s="3" t="s">
        <v>9372</v>
      </c>
      <c r="C11492" s="3" t="s">
        <v>9597</v>
      </c>
      <c r="D11492" s="4" t="str">
        <f t="shared" ref="D11492:D11493" si="1697">HYPERLINK("https://12go.asia/en/travel/Park-30-4-Bien-Hoa/Dalat-Railway-Station", "12Go Link")</f>
        <v>12Go Link</v>
      </c>
      <c r="E11492" s="3" t="s">
        <v>9374</v>
      </c>
      <c r="K11492" s="5"/>
    </row>
    <row r="11493">
      <c r="A11493" s="3" t="s">
        <v>9410</v>
      </c>
      <c r="B11493" s="3" t="s">
        <v>9372</v>
      </c>
      <c r="C11493" s="3" t="s">
        <v>9597</v>
      </c>
      <c r="D11493" s="4" t="str">
        <f t="shared" si="1697"/>
        <v>12Go Link</v>
      </c>
      <c r="E11493" s="3" t="s">
        <v>9412</v>
      </c>
      <c r="K11493" s="5"/>
    </row>
    <row r="11494">
      <c r="A11494" s="3" t="s">
        <v>9410</v>
      </c>
      <c r="B11494" s="3" t="s">
        <v>9372</v>
      </c>
      <c r="C11494" s="3" t="s">
        <v>9598</v>
      </c>
      <c r="D11494" s="4" t="str">
        <f t="shared" ref="D11494:D11495" si="1698">HYPERLINK("https://12go.asia/en/travel/Park-30-4-Bien-Hoa/Pham-Hong-Thai-Street", "12Go Link")</f>
        <v>12Go Link</v>
      </c>
      <c r="E11494" s="3" t="s">
        <v>9374</v>
      </c>
      <c r="K11494" s="5"/>
    </row>
    <row r="11495">
      <c r="A11495" s="3" t="s">
        <v>9410</v>
      </c>
      <c r="B11495" s="3" t="s">
        <v>9372</v>
      </c>
      <c r="C11495" s="3" t="s">
        <v>9598</v>
      </c>
      <c r="D11495" s="4" t="str">
        <f t="shared" si="1698"/>
        <v>12Go Link</v>
      </c>
      <c r="E11495" s="3" t="s">
        <v>9412</v>
      </c>
      <c r="K11495" s="5"/>
    </row>
    <row r="11496">
      <c r="A11496" s="3" t="s">
        <v>9410</v>
      </c>
      <c r="B11496" s="3" t="s">
        <v>9372</v>
      </c>
      <c r="C11496" s="3" t="s">
        <v>9599</v>
      </c>
      <c r="D11496" s="4" t="str">
        <f>HYPERLINK("https://12go.asia/en/travel/Park-30-4-Bien-Hoa/Tram-Hanh-Cau-Dat", "12Go Link")</f>
        <v>12Go Link</v>
      </c>
      <c r="E11496" s="3" t="s">
        <v>9374</v>
      </c>
      <c r="K11496" s="5"/>
    </row>
    <row r="11497">
      <c r="A11497" s="3" t="s">
        <v>9410</v>
      </c>
      <c r="B11497" s="3" t="s">
        <v>9386</v>
      </c>
      <c r="C11497" s="3" t="s">
        <v>9600</v>
      </c>
      <c r="D11497" s="4" t="str">
        <f t="shared" ref="D11497:D11498" si="1699">HYPERLINK("https://12go.asia/en/travel/Park-30-4-Bien-Hoa/Lac-Duong-Da-Lat", "12Go Link")</f>
        <v>12Go Link</v>
      </c>
      <c r="E11497" s="3" t="s">
        <v>9374</v>
      </c>
      <c r="K11497" s="5"/>
    </row>
    <row r="11498">
      <c r="A11498" s="3" t="s">
        <v>9410</v>
      </c>
      <c r="B11498" s="3" t="s">
        <v>9386</v>
      </c>
      <c r="C11498" s="3" t="s">
        <v>9600</v>
      </c>
      <c r="D11498" s="4" t="str">
        <f t="shared" si="1699"/>
        <v>12Go Link</v>
      </c>
      <c r="E11498" s="3" t="s">
        <v>9412</v>
      </c>
      <c r="K11498" s="5"/>
    </row>
    <row r="11499">
      <c r="A11499" s="3" t="s">
        <v>9601</v>
      </c>
      <c r="B11499" s="3" t="s">
        <v>9602</v>
      </c>
      <c r="C11499" s="3" t="s">
        <v>9603</v>
      </c>
      <c r="D11499" s="4" t="str">
        <f>HYPERLINK("https://12go.asia/en/travel/Hoang-Anh-Gia-Lai/Nha-Trang", "12Go Link")</f>
        <v>12Go Link</v>
      </c>
      <c r="E11499" s="3" t="s">
        <v>9449</v>
      </c>
      <c r="K11499" s="5"/>
    </row>
    <row r="11500">
      <c r="A11500" s="3" t="s">
        <v>9601</v>
      </c>
      <c r="B11500" s="3" t="s">
        <v>9397</v>
      </c>
      <c r="C11500" s="3" t="s">
        <v>9604</v>
      </c>
      <c r="D11500" s="4" t="str">
        <f>HYPERLINK("https://12go.asia/en/travel/Hoang-Anh-Gia-Lai/77-Thai-Nguyen-Nha-Trang", "12Go Link")</f>
        <v>12Go Link</v>
      </c>
      <c r="E11500" s="3" t="s">
        <v>9449</v>
      </c>
      <c r="K11500" s="5"/>
    </row>
    <row r="11501">
      <c r="A11501" s="3" t="s">
        <v>9605</v>
      </c>
      <c r="B11501" s="3" t="s">
        <v>9605</v>
      </c>
      <c r="C11501" s="3" t="s">
        <v>9606</v>
      </c>
      <c r="D11501" s="4" t="str">
        <f>HYPERLINK("https://12go.asia/en/travel/Dong-Van-Bus-Station/Ha-Giang-Bang-Phan", "12Go Link")</f>
        <v>12Go Link</v>
      </c>
      <c r="E11501" s="3" t="s">
        <v>9607</v>
      </c>
      <c r="K11501" s="5"/>
    </row>
    <row r="11502">
      <c r="A11502" s="3" t="s">
        <v>9605</v>
      </c>
      <c r="B11502" s="3" t="s">
        <v>9605</v>
      </c>
      <c r="C11502" s="3" t="s">
        <v>9608</v>
      </c>
      <c r="D11502" s="4" t="str">
        <f>HYPERLINK("https://12go.asia/en/travel/Dong-Van-Bus-Station/Ha-Giang-Bus-Station", "12Go Link")</f>
        <v>12Go Link</v>
      </c>
      <c r="E11502" s="3" t="s">
        <v>9607</v>
      </c>
      <c r="K11502" s="5"/>
    </row>
    <row r="11503">
      <c r="A11503" s="3" t="s">
        <v>9605</v>
      </c>
      <c r="B11503" s="3" t="s">
        <v>9605</v>
      </c>
      <c r="C11503" s="3" t="s">
        <v>9609</v>
      </c>
      <c r="D11503" s="4" t="str">
        <f>HYPERLINK("https://12go.asia/en/travel/Dong-Van-Bus-Station/Tbus-Ha-Giang-Office", "12Go Link")</f>
        <v>12Go Link</v>
      </c>
      <c r="E11503" s="3" t="s">
        <v>9607</v>
      </c>
      <c r="K11503" s="5"/>
    </row>
    <row r="11504">
      <c r="A11504" s="3" t="s">
        <v>9605</v>
      </c>
      <c r="B11504" s="3" t="s">
        <v>9610</v>
      </c>
      <c r="C11504" s="3" t="s">
        <v>9611</v>
      </c>
      <c r="D11504" s="4" t="str">
        <f>HYPERLINK("https://12go.asia/en/travel/GMCB/228-1I4-Street", "12Go Link")</f>
        <v>12Go Link</v>
      </c>
      <c r="E11504" s="3" t="s">
        <v>9612</v>
      </c>
      <c r="K11504" s="5"/>
    </row>
    <row r="11505">
      <c r="A11505" s="3" t="s">
        <v>9605</v>
      </c>
      <c r="B11505" s="3" t="s">
        <v>9610</v>
      </c>
      <c r="C11505" s="3" t="s">
        <v>9613</v>
      </c>
      <c r="D11505" s="4" t="str">
        <f>HYPERLINK("https://12go.asia/en/travel/Ha-Giang-Hostel/175a-1I4-Street", "12Go Link")</f>
        <v>12Go Link</v>
      </c>
      <c r="E11505" s="3" t="s">
        <v>9474</v>
      </c>
      <c r="K11505" s="5"/>
    </row>
    <row r="11506">
      <c r="A11506" s="3" t="s">
        <v>9605</v>
      </c>
      <c r="B11506" s="3" t="s">
        <v>9610</v>
      </c>
      <c r="C11506" s="3" t="s">
        <v>9614</v>
      </c>
      <c r="D11506" s="4" t="str">
        <f>HYPERLINK("https://12go.asia/en/travel/Ha-Giang-Hostel/Cat-Ba-SSB", "12Go Link")</f>
        <v>12Go Link</v>
      </c>
      <c r="E11506" s="3" t="s">
        <v>9450</v>
      </c>
      <c r="K11506" s="5"/>
    </row>
    <row r="11507">
      <c r="A11507" s="3" t="s">
        <v>9605</v>
      </c>
      <c r="B11507" s="3" t="s">
        <v>9610</v>
      </c>
      <c r="C11507" s="3" t="s">
        <v>9615</v>
      </c>
      <c r="D11507" s="4" t="str">
        <f t="shared" ref="D11507:D11512" si="1700">HYPERLINK("https://12go.asia/en/travel/Ha-Giang-Hostel/CATBAGO-Booking-Office", "12Go Link")</f>
        <v>12Go Link</v>
      </c>
      <c r="E11507" s="3" t="s">
        <v>9616</v>
      </c>
      <c r="K11507" s="5"/>
    </row>
    <row r="11508">
      <c r="A11508" s="3" t="s">
        <v>9605</v>
      </c>
      <c r="B11508" s="3" t="s">
        <v>9610</v>
      </c>
      <c r="C11508" s="3" t="s">
        <v>9615</v>
      </c>
      <c r="D11508" s="4" t="str">
        <f t="shared" si="1700"/>
        <v>12Go Link</v>
      </c>
      <c r="E11508" s="3" t="s">
        <v>9617</v>
      </c>
      <c r="K11508" s="5"/>
    </row>
    <row r="11509">
      <c r="A11509" s="3" t="s">
        <v>9605</v>
      </c>
      <c r="B11509" s="3" t="s">
        <v>9610</v>
      </c>
      <c r="C11509" s="3" t="s">
        <v>9615</v>
      </c>
      <c r="D11509" s="4" t="str">
        <f t="shared" si="1700"/>
        <v>12Go Link</v>
      </c>
      <c r="E11509" s="3" t="s">
        <v>9618</v>
      </c>
      <c r="K11509" s="5"/>
    </row>
    <row r="11510">
      <c r="A11510" s="3" t="s">
        <v>9605</v>
      </c>
      <c r="B11510" s="3" t="s">
        <v>9610</v>
      </c>
      <c r="C11510" s="3" t="s">
        <v>9615</v>
      </c>
      <c r="D11510" s="4" t="str">
        <f t="shared" si="1700"/>
        <v>12Go Link</v>
      </c>
      <c r="E11510" s="3" t="s">
        <v>9450</v>
      </c>
      <c r="K11510" s="5"/>
    </row>
    <row r="11511">
      <c r="A11511" s="3" t="s">
        <v>9605</v>
      </c>
      <c r="B11511" s="3" t="s">
        <v>9610</v>
      </c>
      <c r="C11511" s="3" t="s">
        <v>9615</v>
      </c>
      <c r="D11511" s="4" t="str">
        <f t="shared" si="1700"/>
        <v>12Go Link</v>
      </c>
      <c r="E11511" s="3" t="s">
        <v>9533</v>
      </c>
      <c r="K11511" s="5"/>
    </row>
    <row r="11512">
      <c r="A11512" s="3" t="s">
        <v>9605</v>
      </c>
      <c r="B11512" s="3" t="s">
        <v>9610</v>
      </c>
      <c r="C11512" s="3" t="s">
        <v>9615</v>
      </c>
      <c r="D11512" s="4" t="str">
        <f t="shared" si="1700"/>
        <v>12Go Link</v>
      </c>
      <c r="E11512" s="3" t="s">
        <v>9619</v>
      </c>
      <c r="K11512" s="5"/>
    </row>
    <row r="11513">
      <c r="A11513" s="3" t="s">
        <v>9605</v>
      </c>
      <c r="B11513" s="3" t="s">
        <v>9610</v>
      </c>
      <c r="C11513" s="3" t="s">
        <v>9620</v>
      </c>
      <c r="D11513" s="4" t="str">
        <f>HYPERLINK("https://12go.asia/en/travel/Ha-Giang-Moment-Homestay/211-Nui-Ngoc", "12Go Link")</f>
        <v>12Go Link</v>
      </c>
      <c r="E11513" s="3" t="s">
        <v>9616</v>
      </c>
      <c r="K11513" s="5"/>
    </row>
    <row r="11514">
      <c r="A11514" s="3" t="s">
        <v>9605</v>
      </c>
      <c r="B11514" s="3" t="s">
        <v>9610</v>
      </c>
      <c r="C11514" s="3" t="s">
        <v>9621</v>
      </c>
      <c r="D11514" s="4" t="str">
        <f>HYPERLINK("https://12go.asia/en/travel/Ha-Giang-Moment-Homestay/Cat-Ba-SSB", "12Go Link")</f>
        <v>12Go Link</v>
      </c>
      <c r="E11514" s="3" t="s">
        <v>9616</v>
      </c>
      <c r="K11514" s="5"/>
    </row>
    <row r="11515">
      <c r="A11515" s="3" t="s">
        <v>9605</v>
      </c>
      <c r="B11515" s="3" t="s">
        <v>9610</v>
      </c>
      <c r="C11515" s="3" t="s">
        <v>9622</v>
      </c>
      <c r="D11515" s="4" t="str">
        <f t="shared" ref="D11515:D11519" si="1701">HYPERLINK("https://12go.asia/en/travel/Hagiang-Hostel-AK-Group-Tour/CATBAGO-Booking-Office", "12Go Link")</f>
        <v>12Go Link</v>
      </c>
      <c r="E11515" s="3" t="s">
        <v>9616</v>
      </c>
      <c r="K11515" s="5"/>
    </row>
    <row r="11516">
      <c r="A11516" s="3" t="s">
        <v>9605</v>
      </c>
      <c r="B11516" s="3" t="s">
        <v>9610</v>
      </c>
      <c r="C11516" s="3" t="s">
        <v>9622</v>
      </c>
      <c r="D11516" s="4" t="str">
        <f t="shared" si="1701"/>
        <v>12Go Link</v>
      </c>
      <c r="E11516" s="3" t="s">
        <v>9617</v>
      </c>
      <c r="K11516" s="5"/>
    </row>
    <row r="11517">
      <c r="A11517" s="3" t="s">
        <v>9605</v>
      </c>
      <c r="B11517" s="3" t="s">
        <v>9610</v>
      </c>
      <c r="C11517" s="3" t="s">
        <v>9622</v>
      </c>
      <c r="D11517" s="4" t="str">
        <f t="shared" si="1701"/>
        <v>12Go Link</v>
      </c>
      <c r="E11517" s="3" t="s">
        <v>9450</v>
      </c>
      <c r="K11517" s="5"/>
    </row>
    <row r="11518">
      <c r="A11518" s="3" t="s">
        <v>9605</v>
      </c>
      <c r="B11518" s="3" t="s">
        <v>9610</v>
      </c>
      <c r="C11518" s="3" t="s">
        <v>9622</v>
      </c>
      <c r="D11518" s="4" t="str">
        <f t="shared" si="1701"/>
        <v>12Go Link</v>
      </c>
      <c r="E11518" s="3" t="s">
        <v>9533</v>
      </c>
      <c r="K11518" s="5"/>
    </row>
    <row r="11519">
      <c r="A11519" s="3" t="s">
        <v>9605</v>
      </c>
      <c r="B11519" s="3" t="s">
        <v>9610</v>
      </c>
      <c r="C11519" s="3" t="s">
        <v>9622</v>
      </c>
      <c r="D11519" s="4" t="str">
        <f t="shared" si="1701"/>
        <v>12Go Link</v>
      </c>
      <c r="E11519" s="3" t="s">
        <v>9619</v>
      </c>
      <c r="K11519" s="5"/>
    </row>
    <row r="11520">
      <c r="A11520" s="3" t="s">
        <v>9605</v>
      </c>
      <c r="B11520" s="3" t="s">
        <v>9610</v>
      </c>
      <c r="C11520" s="3" t="s">
        <v>9623</v>
      </c>
      <c r="D11520" s="4" t="str">
        <f t="shared" ref="D11520:D11521" si="1702">HYPERLINK("https://12go.asia/en/travel/Hagiang-Hostel-AK-Group-Tour/HAIPHONG-LUXURY", "12Go Link")</f>
        <v>12Go Link</v>
      </c>
      <c r="E11520" s="3" t="s">
        <v>9450</v>
      </c>
      <c r="K11520" s="5"/>
    </row>
    <row r="11521">
      <c r="A11521" s="3" t="s">
        <v>9605</v>
      </c>
      <c r="B11521" s="3" t="s">
        <v>9610</v>
      </c>
      <c r="C11521" s="3" t="s">
        <v>9623</v>
      </c>
      <c r="D11521" s="4" t="str">
        <f t="shared" si="1702"/>
        <v>12Go Link</v>
      </c>
      <c r="E11521" s="3" t="s">
        <v>9619</v>
      </c>
      <c r="K11521" s="5"/>
    </row>
    <row r="11522">
      <c r="A11522" s="3" t="s">
        <v>9605</v>
      </c>
      <c r="B11522" s="3" t="s">
        <v>9610</v>
      </c>
      <c r="C11522" s="3" t="s">
        <v>9624</v>
      </c>
      <c r="D11522" s="4" t="str">
        <f>HYPERLINK("https://12go.asia/en/travel/Tan-Quang/CATBAGO-Booking-Office", "12Go Link")</f>
        <v>12Go Link</v>
      </c>
      <c r="E11522" s="3" t="s">
        <v>9450</v>
      </c>
      <c r="K11522" s="5"/>
    </row>
    <row r="11523">
      <c r="A11523" s="3" t="s">
        <v>9605</v>
      </c>
      <c r="B11523" s="3" t="s">
        <v>9625</v>
      </c>
      <c r="C11523" s="3" t="s">
        <v>9626</v>
      </c>
      <c r="D11523" s="4" t="str">
        <f>HYPERLINK("https://12go.asia/en/travel/Ha-Giang-Hostel/Boarding-point-Ruby-Cruise", "12Go Link")</f>
        <v>12Go Link</v>
      </c>
      <c r="E11523" s="3" t="s">
        <v>9474</v>
      </c>
      <c r="K11523" s="5"/>
    </row>
    <row r="11524">
      <c r="A11524" s="3" t="s">
        <v>9605</v>
      </c>
      <c r="B11524" s="3" t="s">
        <v>9625</v>
      </c>
      <c r="C11524" s="3" t="s">
        <v>9627</v>
      </c>
      <c r="D11524" s="4" t="str">
        <f t="shared" ref="D11524:D11529" si="1703">HYPERLINK("https://12go.asia/en/travel/Ha-Giang-Hostel/Tuan-Chau-Luxxury-SSB", "12Go Link")</f>
        <v>12Go Link</v>
      </c>
      <c r="E11524" s="3" t="s">
        <v>9616</v>
      </c>
      <c r="K11524" s="5"/>
    </row>
    <row r="11525">
      <c r="A11525" s="3" t="s">
        <v>9605</v>
      </c>
      <c r="B11525" s="3" t="s">
        <v>9625</v>
      </c>
      <c r="C11525" s="3" t="s">
        <v>9627</v>
      </c>
      <c r="D11525" s="4" t="str">
        <f t="shared" si="1703"/>
        <v>12Go Link</v>
      </c>
      <c r="E11525" s="3" t="s">
        <v>9617</v>
      </c>
      <c r="K11525" s="5"/>
    </row>
    <row r="11526">
      <c r="A11526" s="3" t="s">
        <v>9605</v>
      </c>
      <c r="B11526" s="3" t="s">
        <v>9625</v>
      </c>
      <c r="C11526" s="3" t="s">
        <v>9627</v>
      </c>
      <c r="D11526" s="4" t="str">
        <f t="shared" si="1703"/>
        <v>12Go Link</v>
      </c>
      <c r="E11526" s="3" t="s">
        <v>9618</v>
      </c>
      <c r="K11526" s="5"/>
    </row>
    <row r="11527">
      <c r="A11527" s="3" t="s">
        <v>9605</v>
      </c>
      <c r="B11527" s="3" t="s">
        <v>9625</v>
      </c>
      <c r="C11527" s="3" t="s">
        <v>9627</v>
      </c>
      <c r="D11527" s="4" t="str">
        <f t="shared" si="1703"/>
        <v>12Go Link</v>
      </c>
      <c r="E11527" s="3" t="s">
        <v>9450</v>
      </c>
      <c r="K11527" s="5"/>
    </row>
    <row r="11528">
      <c r="A11528" s="3" t="s">
        <v>9605</v>
      </c>
      <c r="B11528" s="3" t="s">
        <v>9625</v>
      </c>
      <c r="C11528" s="3" t="s">
        <v>9627</v>
      </c>
      <c r="D11528" s="4" t="str">
        <f t="shared" si="1703"/>
        <v>12Go Link</v>
      </c>
      <c r="E11528" s="3" t="s">
        <v>9533</v>
      </c>
      <c r="K11528" s="5"/>
    </row>
    <row r="11529">
      <c r="A11529" s="3" t="s">
        <v>9605</v>
      </c>
      <c r="B11529" s="3" t="s">
        <v>9625</v>
      </c>
      <c r="C11529" s="3" t="s">
        <v>9627</v>
      </c>
      <c r="D11529" s="4" t="str">
        <f t="shared" si="1703"/>
        <v>12Go Link</v>
      </c>
      <c r="E11529" s="3" t="s">
        <v>9619</v>
      </c>
      <c r="K11529" s="5"/>
    </row>
    <row r="11530">
      <c r="A11530" s="3" t="s">
        <v>9605</v>
      </c>
      <c r="B11530" s="3" t="s">
        <v>9466</v>
      </c>
      <c r="C11530" s="3" t="s">
        <v>9628</v>
      </c>
      <c r="D11530" s="4" t="str">
        <f>HYPERLINK("https://12go.asia/en/travel/100-Tran-Phu-Ha-Giang/04-Hang-Chinh-Maison-Mackeno", "12Go Link")</f>
        <v>12Go Link</v>
      </c>
      <c r="E11530" s="3" t="s">
        <v>9449</v>
      </c>
      <c r="K11530" s="5"/>
    </row>
    <row r="11531">
      <c r="A11531" s="3" t="s">
        <v>9605</v>
      </c>
      <c r="B11531" s="3" t="s">
        <v>9466</v>
      </c>
      <c r="C11531" s="3" t="s">
        <v>9629</v>
      </c>
      <c r="D11531" s="4" t="str">
        <f>HYPERLINK("https://12go.asia/en/travel/Ha-Giang-Hostel/04-Hang-Chinh-Maison-Mackeno", "12Go Link")</f>
        <v>12Go Link</v>
      </c>
      <c r="E11531" s="3" t="s">
        <v>9474</v>
      </c>
      <c r="K11531" s="5"/>
    </row>
    <row r="11532">
      <c r="A11532" s="3" t="s">
        <v>9605</v>
      </c>
      <c r="B11532" s="3" t="s">
        <v>9466</v>
      </c>
      <c r="C11532" s="3" t="s">
        <v>9630</v>
      </c>
      <c r="D11532" s="4" t="str">
        <f>HYPERLINK("https://12go.asia/en/travel/Ha-Giang-Hostel/16-Hang-Chinh-Hanoi", "12Go Link")</f>
        <v>12Go Link</v>
      </c>
      <c r="E11532" s="3" t="s">
        <v>9474</v>
      </c>
      <c r="K11532" s="5"/>
    </row>
    <row r="11533">
      <c r="A11533" s="3" t="s">
        <v>9605</v>
      </c>
      <c r="B11533" s="3" t="s">
        <v>9466</v>
      </c>
      <c r="C11533" s="3" t="s">
        <v>9631</v>
      </c>
      <c r="D11533" s="4" t="str">
        <f t="shared" ref="D11533:D11534" si="1704">HYPERLINK("https://12go.asia/en/travel/Ha-Giang-Hostel/Hanoi-My-Dinh", "12Go Link")</f>
        <v>12Go Link</v>
      </c>
      <c r="E11533" s="3" t="s">
        <v>9632</v>
      </c>
      <c r="K11533" s="5"/>
    </row>
    <row r="11534">
      <c r="A11534" s="3" t="s">
        <v>9605</v>
      </c>
      <c r="B11534" s="3" t="s">
        <v>9466</v>
      </c>
      <c r="C11534" s="3" t="s">
        <v>9631</v>
      </c>
      <c r="D11534" s="4" t="str">
        <f t="shared" si="1704"/>
        <v>12Go Link</v>
      </c>
      <c r="E11534" s="3" t="s">
        <v>9633</v>
      </c>
      <c r="K11534" s="5"/>
    </row>
    <row r="11535">
      <c r="A11535" s="3" t="s">
        <v>9605</v>
      </c>
      <c r="B11535" s="3" t="s">
        <v>9466</v>
      </c>
      <c r="C11535" s="3" t="s">
        <v>9634</v>
      </c>
      <c r="D11535" s="4" t="str">
        <f t="shared" ref="D11535:D11537" si="1705">HYPERLINK("https://12go.asia/en/travel/Ha-Giang-Hostel/Hanoi-Noi-Bai-Airport", "12Go Link")</f>
        <v>12Go Link</v>
      </c>
      <c r="E11535" s="3" t="s">
        <v>9616</v>
      </c>
      <c r="K11535" s="5"/>
    </row>
    <row r="11536">
      <c r="A11536" s="3" t="s">
        <v>9605</v>
      </c>
      <c r="B11536" s="3" t="s">
        <v>9466</v>
      </c>
      <c r="C11536" s="3" t="s">
        <v>9634</v>
      </c>
      <c r="D11536" s="4" t="str">
        <f t="shared" si="1705"/>
        <v>12Go Link</v>
      </c>
      <c r="E11536" s="3" t="s">
        <v>9632</v>
      </c>
      <c r="K11536" s="5"/>
    </row>
    <row r="11537">
      <c r="A11537" s="3" t="s">
        <v>9605</v>
      </c>
      <c r="B11537" s="3" t="s">
        <v>9466</v>
      </c>
      <c r="C11537" s="3" t="s">
        <v>9634</v>
      </c>
      <c r="D11537" s="4" t="str">
        <f t="shared" si="1705"/>
        <v>12Go Link</v>
      </c>
      <c r="E11537" s="3" t="s">
        <v>9633</v>
      </c>
      <c r="K11537" s="5"/>
    </row>
    <row r="11538">
      <c r="A11538" s="3" t="s">
        <v>9605</v>
      </c>
      <c r="B11538" s="3" t="s">
        <v>9466</v>
      </c>
      <c r="C11538" s="3" t="s">
        <v>9635</v>
      </c>
      <c r="D11538" s="4" t="str">
        <f t="shared" ref="D11538:D11539" si="1706">HYPERLINK("https://12go.asia/en/travel/Hagiang-Hostel-AK-Group-Tour/Hanoi-Noi-Bai-Airport", "12Go Link")</f>
        <v>12Go Link</v>
      </c>
      <c r="E11538" s="3" t="s">
        <v>9616</v>
      </c>
      <c r="K11538" s="5"/>
    </row>
    <row r="11539">
      <c r="A11539" s="3" t="s">
        <v>9605</v>
      </c>
      <c r="B11539" s="3" t="s">
        <v>9466</v>
      </c>
      <c r="C11539" s="3" t="s">
        <v>9635</v>
      </c>
      <c r="D11539" s="4" t="str">
        <f t="shared" si="1706"/>
        <v>12Go Link</v>
      </c>
      <c r="E11539" s="3" t="s">
        <v>9636</v>
      </c>
      <c r="K11539" s="5"/>
    </row>
    <row r="11540">
      <c r="A11540" s="3" t="s">
        <v>9605</v>
      </c>
      <c r="B11540" s="3" t="s">
        <v>9466</v>
      </c>
      <c r="C11540" s="3" t="s">
        <v>9637</v>
      </c>
      <c r="D11540" s="4" t="str">
        <f>HYPERLINK("https://12go.asia/en/travel/Tan-Quang/Hanoi-SSB", "12Go Link")</f>
        <v>12Go Link</v>
      </c>
      <c r="E11540" s="3" t="s">
        <v>9450</v>
      </c>
      <c r="K11540" s="5"/>
    </row>
    <row r="11541">
      <c r="A11541" s="3" t="s">
        <v>9605</v>
      </c>
      <c r="B11541" s="3" t="s">
        <v>9466</v>
      </c>
      <c r="C11541" s="3" t="s">
        <v>9638</v>
      </c>
      <c r="D11541" s="4" t="str">
        <f>HYPERLINK("https://12go.asia/en/travel/ha-giang-bus-station/go-long-bien", "12Go Link")</f>
        <v>12Go Link</v>
      </c>
      <c r="E11541" s="3" t="s">
        <v>8</v>
      </c>
      <c r="K11541" s="5"/>
    </row>
    <row r="11542">
      <c r="A11542" s="3" t="s">
        <v>9605</v>
      </c>
      <c r="B11542" s="3" t="s">
        <v>9639</v>
      </c>
      <c r="C11542" s="3" t="s">
        <v>9640</v>
      </c>
      <c r="D11542" s="4" t="str">
        <f t="shared" ref="D11542:D11543" si="1707">HYPERLINK("https://12go.asia/en/travel/Ha-Giang-Hostel/418-Dien-Bien-Phu", "12Go Link")</f>
        <v>12Go Link</v>
      </c>
      <c r="E11542" s="3" t="s">
        <v>9641</v>
      </c>
      <c r="K11542" s="5"/>
    </row>
    <row r="11543">
      <c r="A11543" s="3" t="s">
        <v>9605</v>
      </c>
      <c r="B11543" s="3" t="s">
        <v>9639</v>
      </c>
      <c r="C11543" s="3" t="s">
        <v>9640</v>
      </c>
      <c r="D11543" s="4" t="str">
        <f t="shared" si="1707"/>
        <v>12Go Link</v>
      </c>
      <c r="E11543" s="3" t="s">
        <v>9642</v>
      </c>
      <c r="K11543" s="5"/>
    </row>
    <row r="11544">
      <c r="A11544" s="3" t="s">
        <v>9605</v>
      </c>
      <c r="B11544" s="3" t="s">
        <v>9539</v>
      </c>
      <c r="C11544" s="3" t="s">
        <v>9643</v>
      </c>
      <c r="D11544" s="4" t="str">
        <f>HYPERLINK("https://12go.asia/en/travel/32-Nguyen-Trai-Street/Break-Time-Coffee-Tam-Coc", "12Go Link")</f>
        <v>12Go Link</v>
      </c>
      <c r="E11544" s="3" t="s">
        <v>9412</v>
      </c>
      <c r="K11544" s="5"/>
    </row>
    <row r="11545">
      <c r="A11545" s="3" t="s">
        <v>9605</v>
      </c>
      <c r="B11545" s="3" t="s">
        <v>9644</v>
      </c>
      <c r="C11545" s="3" t="s">
        <v>9645</v>
      </c>
      <c r="D11545" s="4" t="str">
        <f t="shared" ref="D11545:D11546" si="1708">HYPERLINK("https://12go.asia/en/travel/Ha-Giang-Hostel/Noi-Bai-Airport", "12Go Link")</f>
        <v>12Go Link</v>
      </c>
      <c r="E11545" s="3" t="s">
        <v>9646</v>
      </c>
      <c r="K11545" s="5"/>
    </row>
    <row r="11546">
      <c r="A11546" s="3" t="s">
        <v>9605</v>
      </c>
      <c r="B11546" s="3" t="s">
        <v>9644</v>
      </c>
      <c r="C11546" s="3" t="s">
        <v>9645</v>
      </c>
      <c r="D11546" s="4" t="str">
        <f t="shared" si="1708"/>
        <v>12Go Link</v>
      </c>
      <c r="E11546" s="3" t="s">
        <v>9474</v>
      </c>
      <c r="K11546" s="5"/>
    </row>
    <row r="11547">
      <c r="A11547" s="3" t="s">
        <v>9605</v>
      </c>
      <c r="B11547" s="3" t="s">
        <v>9561</v>
      </c>
      <c r="C11547" s="3" t="s">
        <v>9647</v>
      </c>
      <c r="D11547" s="4" t="str">
        <f>HYPERLINK("https://12go.asia/en/travel/Ha-Giang-Hostel/Phongnha-Luxury-SSB", "12Go Link")</f>
        <v>12Go Link</v>
      </c>
      <c r="E11547" s="3" t="s">
        <v>9648</v>
      </c>
      <c r="K11547" s="5"/>
    </row>
    <row r="11548">
      <c r="A11548" s="3" t="s">
        <v>9605</v>
      </c>
      <c r="B11548" s="3" t="s">
        <v>9561</v>
      </c>
      <c r="C11548" s="3" t="s">
        <v>9649</v>
      </c>
      <c r="D11548" s="4" t="str">
        <f>HYPERLINK("https://12go.asia/en/travel/Hagiang-Hostel-AK-Group-Tour/Phongnha-Luxury-SSB", "12Go Link")</f>
        <v>12Go Link</v>
      </c>
      <c r="E11548" s="3" t="s">
        <v>9648</v>
      </c>
      <c r="K11548" s="5"/>
    </row>
    <row r="11549">
      <c r="A11549" s="3" t="s">
        <v>9605</v>
      </c>
      <c r="B11549" s="3" t="s">
        <v>9573</v>
      </c>
      <c r="C11549" s="3" t="s">
        <v>9650</v>
      </c>
      <c r="D11549" s="4" t="str">
        <f>HYPERLINK("https://12go.asia/en/travel/Ha-Giang-Hostel/Tung-Luxury-Hotel-Ha-Long", "12Go Link")</f>
        <v>12Go Link</v>
      </c>
      <c r="E11549" s="3" t="s">
        <v>9474</v>
      </c>
      <c r="K11549" s="5"/>
    </row>
    <row r="11550">
      <c r="A11550" s="3" t="s">
        <v>9605</v>
      </c>
      <c r="B11550" s="3" t="s">
        <v>9573</v>
      </c>
      <c r="C11550" s="3" t="s">
        <v>9651</v>
      </c>
      <c r="D11550" s="4" t="str">
        <f>HYPERLINK("https://12go.asia/en/travel/Hagiang-Hostel-AK-Group-Tour/Toyota-Quang-Ninh", "12Go Link")</f>
        <v>12Go Link</v>
      </c>
      <c r="E11550" s="3" t="s">
        <v>9450</v>
      </c>
      <c r="K11550" s="5"/>
    </row>
    <row r="11551">
      <c r="A11551" s="3" t="s">
        <v>9652</v>
      </c>
      <c r="B11551" s="3" t="s">
        <v>9487</v>
      </c>
      <c r="C11551" s="3" t="s">
        <v>9653</v>
      </c>
      <c r="D11551" s="4" t="str">
        <f>HYPERLINK("https://12go.asia/en/travel/ha-nam/hoi-an", "12Go Link")</f>
        <v>12Go Link</v>
      </c>
      <c r="E11551" s="3" t="s">
        <v>94</v>
      </c>
      <c r="K11551" s="5"/>
    </row>
    <row r="11552">
      <c r="A11552" s="3" t="s">
        <v>9652</v>
      </c>
      <c r="B11552" s="3" t="s">
        <v>9401</v>
      </c>
      <c r="C11552" s="3" t="s">
        <v>9654</v>
      </c>
      <c r="D11552" s="4" t="str">
        <f>HYPERLINK("https://12go.asia/en/travel/ha-nam/phu-yen", "12Go Link")</f>
        <v>12Go Link</v>
      </c>
      <c r="E11552" s="3" t="s">
        <v>94</v>
      </c>
      <c r="K11552" s="5"/>
    </row>
    <row r="11553">
      <c r="A11553" s="3" t="s">
        <v>9652</v>
      </c>
      <c r="B11553" s="3" t="s">
        <v>9401</v>
      </c>
      <c r="C11553" s="3" t="s">
        <v>9655</v>
      </c>
      <c r="D11553" s="4" t="str">
        <f>HYPERLINK("https://12go.asia/en/travel/phu-ly/tuy-hoa", "12Go Link")</f>
        <v>12Go Link</v>
      </c>
      <c r="E11553" s="3" t="s">
        <v>94</v>
      </c>
      <c r="K11553" s="5"/>
    </row>
    <row r="11554">
      <c r="A11554" s="3" t="s">
        <v>9652</v>
      </c>
      <c r="B11554" s="3" t="s">
        <v>9656</v>
      </c>
      <c r="C11554" s="3" t="s">
        <v>9657</v>
      </c>
      <c r="D11554" s="4" t="str">
        <f>HYPERLINK("https://12go.asia/en/travel/ha-nam/saigon", "12Go Link")</f>
        <v>12Go Link</v>
      </c>
      <c r="E11554" s="3" t="s">
        <v>94</v>
      </c>
      <c r="K11554" s="5"/>
    </row>
    <row r="11555">
      <c r="A11555" s="3" t="s">
        <v>9658</v>
      </c>
      <c r="B11555" s="3" t="s">
        <v>9602</v>
      </c>
      <c r="C11555" s="3" t="s">
        <v>9659</v>
      </c>
      <c r="D11555" s="4" t="str">
        <f>HYPERLINK("https://12go.asia/en/travel/ha-tinh/khanh-hoa", "12Go Link")</f>
        <v>12Go Link</v>
      </c>
      <c r="E11555" s="3" t="s">
        <v>94</v>
      </c>
      <c r="K11555" s="5"/>
    </row>
    <row r="11556">
      <c r="A11556" s="3" t="s">
        <v>9658</v>
      </c>
      <c r="B11556" s="3" t="s">
        <v>9656</v>
      </c>
      <c r="C11556" s="3" t="s">
        <v>9660</v>
      </c>
      <c r="D11556" s="4" t="str">
        <f>HYPERLINK("https://12go.asia/en/travel/ha-tinh/saigon", "12Go Link")</f>
        <v>12Go Link</v>
      </c>
      <c r="E11556" s="3" t="s">
        <v>94</v>
      </c>
      <c r="K11556" s="5"/>
    </row>
    <row r="11557">
      <c r="A11557" s="3" t="s">
        <v>9610</v>
      </c>
      <c r="B11557" s="3" t="s">
        <v>9605</v>
      </c>
      <c r="C11557" s="3" t="s">
        <v>9661</v>
      </c>
      <c r="D11557" s="4" t="str">
        <f>HYPERLINK("https://12go.asia/en/travel/175a-1I4-Street/Ha-Giang-Hostel", "12Go Link")</f>
        <v>12Go Link</v>
      </c>
      <c r="E11557" s="3" t="s">
        <v>9474</v>
      </c>
      <c r="K11557" s="5"/>
    </row>
    <row r="11558">
      <c r="A11558" s="3" t="s">
        <v>9610</v>
      </c>
      <c r="B11558" s="3" t="s">
        <v>9605</v>
      </c>
      <c r="C11558" s="3" t="s">
        <v>9662</v>
      </c>
      <c r="D11558" s="4" t="str">
        <f>HYPERLINK("https://12go.asia/en/travel/228-1I4-Street/GMCB", "12Go Link")</f>
        <v>12Go Link</v>
      </c>
      <c r="E11558" s="3" t="s">
        <v>9612</v>
      </c>
      <c r="K11558" s="5"/>
    </row>
    <row r="11559">
      <c r="A11559" s="3" t="s">
        <v>9610</v>
      </c>
      <c r="B11559" s="3" t="s">
        <v>9605</v>
      </c>
      <c r="C11559" s="3" t="s">
        <v>9663</v>
      </c>
      <c r="D11559" s="4" t="str">
        <f>HYPERLINK("https://12go.asia/en/travel/CATBA-175A/Ha-Giang-Hostel", "12Go Link")</f>
        <v>12Go Link</v>
      </c>
      <c r="E11559" s="3" t="s">
        <v>9618</v>
      </c>
      <c r="K11559" s="5"/>
    </row>
    <row r="11560">
      <c r="A11560" s="3" t="s">
        <v>9610</v>
      </c>
      <c r="B11560" s="3" t="s">
        <v>9605</v>
      </c>
      <c r="C11560" s="3" t="s">
        <v>9664</v>
      </c>
      <c r="D11560" s="4" t="str">
        <f>HYPERLINK("https://12go.asia/en/travel/Catba-Station-SSB/Ha-Giang-Hostel", "12Go Link")</f>
        <v>12Go Link</v>
      </c>
      <c r="E11560" s="3" t="s">
        <v>9618</v>
      </c>
      <c r="K11560" s="5"/>
    </row>
    <row r="11561">
      <c r="A11561" s="3" t="s">
        <v>9610</v>
      </c>
      <c r="B11561" s="3" t="s">
        <v>9605</v>
      </c>
      <c r="C11561" s="3" t="s">
        <v>9665</v>
      </c>
      <c r="D11561" s="4" t="str">
        <f t="shared" ref="D11561:D11565" si="1709">HYPERLINK("https://12go.asia/en/travel/CATBAGO-Booking-Office/Ha-Giang-Hostel", "12Go Link")</f>
        <v>12Go Link</v>
      </c>
      <c r="E11561" s="3" t="s">
        <v>9616</v>
      </c>
      <c r="K11561" s="5"/>
    </row>
    <row r="11562">
      <c r="A11562" s="3" t="s">
        <v>9610</v>
      </c>
      <c r="B11562" s="3" t="s">
        <v>9605</v>
      </c>
      <c r="C11562" s="3" t="s">
        <v>9665</v>
      </c>
      <c r="D11562" s="4" t="str">
        <f t="shared" si="1709"/>
        <v>12Go Link</v>
      </c>
      <c r="E11562" s="3" t="s">
        <v>9618</v>
      </c>
      <c r="K11562" s="5"/>
    </row>
    <row r="11563">
      <c r="A11563" s="3" t="s">
        <v>9610</v>
      </c>
      <c r="B11563" s="3" t="s">
        <v>9605</v>
      </c>
      <c r="C11563" s="3" t="s">
        <v>9665</v>
      </c>
      <c r="D11563" s="4" t="str">
        <f t="shared" si="1709"/>
        <v>12Go Link</v>
      </c>
      <c r="E11563" s="3" t="s">
        <v>9450</v>
      </c>
      <c r="K11563" s="5"/>
    </row>
    <row r="11564">
      <c r="A11564" s="3" t="s">
        <v>9610</v>
      </c>
      <c r="B11564" s="3" t="s">
        <v>9605</v>
      </c>
      <c r="C11564" s="3" t="s">
        <v>9665</v>
      </c>
      <c r="D11564" s="4" t="str">
        <f t="shared" si="1709"/>
        <v>12Go Link</v>
      </c>
      <c r="E11564" s="3" t="s">
        <v>9533</v>
      </c>
      <c r="K11564" s="5"/>
    </row>
    <row r="11565">
      <c r="A11565" s="3" t="s">
        <v>9610</v>
      </c>
      <c r="B11565" s="3" t="s">
        <v>9605</v>
      </c>
      <c r="C11565" s="3" t="s">
        <v>9665</v>
      </c>
      <c r="D11565" s="4" t="str">
        <f t="shared" si="1709"/>
        <v>12Go Link</v>
      </c>
      <c r="E11565" s="3" t="s">
        <v>9619</v>
      </c>
      <c r="K11565" s="5"/>
    </row>
    <row r="11566">
      <c r="A11566" s="3" t="s">
        <v>9610</v>
      </c>
      <c r="B11566" s="3" t="s">
        <v>9605</v>
      </c>
      <c r="C11566" s="3" t="s">
        <v>9666</v>
      </c>
      <c r="D11566" s="4" t="str">
        <f t="shared" ref="D11566:D11568" si="1710">HYPERLINK("https://12go.asia/en/travel/CATBAGO-Booking-Office/Hagiang-Hostel-AK-Group-Tour", "12Go Link")</f>
        <v>12Go Link</v>
      </c>
      <c r="E11566" s="3" t="s">
        <v>9450</v>
      </c>
      <c r="K11566" s="5"/>
    </row>
    <row r="11567">
      <c r="A11567" s="3" t="s">
        <v>9610</v>
      </c>
      <c r="B11567" s="3" t="s">
        <v>9605</v>
      </c>
      <c r="C11567" s="3" t="s">
        <v>9666</v>
      </c>
      <c r="D11567" s="4" t="str">
        <f t="shared" si="1710"/>
        <v>12Go Link</v>
      </c>
      <c r="E11567" s="3" t="s">
        <v>9533</v>
      </c>
      <c r="K11567" s="5"/>
    </row>
    <row r="11568">
      <c r="A11568" s="3" t="s">
        <v>9610</v>
      </c>
      <c r="B11568" s="3" t="s">
        <v>9605</v>
      </c>
      <c r="C11568" s="3" t="s">
        <v>9666</v>
      </c>
      <c r="D11568" s="4" t="str">
        <f t="shared" si="1710"/>
        <v>12Go Link</v>
      </c>
      <c r="E11568" s="3" t="s">
        <v>9619</v>
      </c>
      <c r="K11568" s="5"/>
    </row>
    <row r="11569">
      <c r="A11569" s="3" t="s">
        <v>9610</v>
      </c>
      <c r="B11569" s="3" t="s">
        <v>9605</v>
      </c>
      <c r="C11569" s="3" t="s">
        <v>9667</v>
      </c>
      <c r="D11569" s="4" t="str">
        <f>HYPERLINK("https://12go.asia/en/travel/CATBAGO-Booking-Office/Tan-Quang", "12Go Link")</f>
        <v>12Go Link</v>
      </c>
      <c r="E11569" s="3" t="s">
        <v>9450</v>
      </c>
      <c r="K11569" s="5"/>
    </row>
    <row r="11570">
      <c r="A11570" s="3" t="s">
        <v>9610</v>
      </c>
      <c r="B11570" s="3" t="s">
        <v>9605</v>
      </c>
      <c r="C11570" s="3" t="s">
        <v>9668</v>
      </c>
      <c r="D11570" s="4" t="str">
        <f t="shared" ref="D11570:D11571" si="1711">HYPERLINK("https://12go.asia/en/travel/HAIPHONG-LUXURY/Hagiang-Hostel-AK-Group-Tour", "12Go Link")</f>
        <v>12Go Link</v>
      </c>
      <c r="E11570" s="3" t="s">
        <v>9450</v>
      </c>
      <c r="K11570" s="5"/>
    </row>
    <row r="11571">
      <c r="A11571" s="3" t="s">
        <v>9610</v>
      </c>
      <c r="B11571" s="3" t="s">
        <v>9605</v>
      </c>
      <c r="C11571" s="3" t="s">
        <v>9668</v>
      </c>
      <c r="D11571" s="4" t="str">
        <f t="shared" si="1711"/>
        <v>12Go Link</v>
      </c>
      <c r="E11571" s="3" t="s">
        <v>9619</v>
      </c>
      <c r="K11571" s="5"/>
    </row>
    <row r="11572">
      <c r="A11572" s="3" t="s">
        <v>9610</v>
      </c>
      <c r="B11572" s="3" t="s">
        <v>9625</v>
      </c>
      <c r="C11572" s="3" t="s">
        <v>9669</v>
      </c>
      <c r="D11572" s="4" t="str">
        <f>HYPERLINK("https://12go.asia/en/travel/61-Hung-Vuong-Street/Boarding-point-Ruby-Cruise", "12Go Link")</f>
        <v>12Go Link</v>
      </c>
      <c r="E11572" s="3" t="s">
        <v>9450</v>
      </c>
      <c r="K11572" s="5"/>
    </row>
    <row r="11573">
      <c r="A11573" s="3" t="s">
        <v>9610</v>
      </c>
      <c r="B11573" s="3" t="s">
        <v>9625</v>
      </c>
      <c r="C11573" s="3" t="s">
        <v>9670</v>
      </c>
      <c r="D11573" s="4" t="str">
        <f>HYPERLINK("https://12go.asia/en/travel/Cat-Ba-SSB/Tuan-Chau-Luxxury-SSB", "12Go Link")</f>
        <v>12Go Link</v>
      </c>
      <c r="E11573" s="3" t="s">
        <v>9671</v>
      </c>
      <c r="K11573" s="5"/>
    </row>
    <row r="11574">
      <c r="A11574" s="3" t="s">
        <v>9610</v>
      </c>
      <c r="B11574" s="3" t="s">
        <v>9466</v>
      </c>
      <c r="C11574" s="3" t="s">
        <v>9672</v>
      </c>
      <c r="D11574" s="4" t="str">
        <f>HYPERLINK("https://12go.asia/en/travel/175a-1I4-Street/04-Hang-Chinh-Maison-Mackeno", "12Go Link")</f>
        <v>12Go Link</v>
      </c>
      <c r="E11574" s="3" t="s">
        <v>9474</v>
      </c>
      <c r="K11574" s="5"/>
    </row>
    <row r="11575">
      <c r="A11575" s="3" t="s">
        <v>9610</v>
      </c>
      <c r="B11575" s="3" t="s">
        <v>9466</v>
      </c>
      <c r="C11575" s="3" t="s">
        <v>9673</v>
      </c>
      <c r="D11575" s="4" t="str">
        <f>HYPERLINK("https://12go.asia/en/travel/175a-1I4-Street/16-Hang-Chinh-Hanoi", "12Go Link")</f>
        <v>12Go Link</v>
      </c>
      <c r="E11575" s="3" t="s">
        <v>9474</v>
      </c>
      <c r="K11575" s="5"/>
    </row>
    <row r="11576">
      <c r="A11576" s="3" t="s">
        <v>9610</v>
      </c>
      <c r="B11576" s="3" t="s">
        <v>9466</v>
      </c>
      <c r="C11576" s="3" t="s">
        <v>9674</v>
      </c>
      <c r="D11576" s="4" t="str">
        <f t="shared" ref="D11576:D11578" si="1712">HYPERLINK("https://12go.asia/en/travel/61-Hung-Vuong-Street/Hanoi-SSB", "12Go Link")</f>
        <v>12Go Link</v>
      </c>
      <c r="E11576" s="3" t="s">
        <v>9616</v>
      </c>
      <c r="K11576" s="5"/>
    </row>
    <row r="11577">
      <c r="A11577" s="3" t="s">
        <v>9610</v>
      </c>
      <c r="B11577" s="3" t="s">
        <v>9466</v>
      </c>
      <c r="C11577" s="3" t="s">
        <v>9674</v>
      </c>
      <c r="D11577" s="4" t="str">
        <f t="shared" si="1712"/>
        <v>12Go Link</v>
      </c>
      <c r="E11577" s="3" t="s">
        <v>9617</v>
      </c>
      <c r="K11577" s="5"/>
    </row>
    <row r="11578">
      <c r="A11578" s="3" t="s">
        <v>9610</v>
      </c>
      <c r="B11578" s="3" t="s">
        <v>9466</v>
      </c>
      <c r="C11578" s="3" t="s">
        <v>9674</v>
      </c>
      <c r="D11578" s="4" t="str">
        <f t="shared" si="1712"/>
        <v>12Go Link</v>
      </c>
      <c r="E11578" s="3" t="s">
        <v>9538</v>
      </c>
      <c r="K11578" s="5"/>
    </row>
    <row r="11579">
      <c r="A11579" s="3" t="s">
        <v>9610</v>
      </c>
      <c r="B11579" s="3" t="s">
        <v>9466</v>
      </c>
      <c r="C11579" s="3" t="s">
        <v>9675</v>
      </c>
      <c r="D11579" s="4" t="str">
        <f>HYPERLINK("https://12go.asia/en/travel/Cat-Ba-Buffalo-Hostel/Big-C-Long-Bien", "12Go Link")</f>
        <v>12Go Link</v>
      </c>
      <c r="E11579" s="3" t="s">
        <v>9470</v>
      </c>
      <c r="K11579" s="5"/>
    </row>
    <row r="11580">
      <c r="A11580" s="3" t="s">
        <v>9610</v>
      </c>
      <c r="B11580" s="3" t="s">
        <v>9466</v>
      </c>
      <c r="C11580" s="3" t="s">
        <v>9676</v>
      </c>
      <c r="D11580" s="4" t="str">
        <f>HYPERLINK("https://12go.asia/en/travel/Cat-Ba-SSB/Hanoi-Noi-Bai-Airport", "12Go Link")</f>
        <v>12Go Link</v>
      </c>
      <c r="E11580" s="3" t="s">
        <v>9648</v>
      </c>
      <c r="K11580" s="5"/>
    </row>
    <row r="11581">
      <c r="A11581" s="3" t="s">
        <v>9610</v>
      </c>
      <c r="B11581" s="3" t="s">
        <v>9466</v>
      </c>
      <c r="C11581" s="3" t="s">
        <v>9677</v>
      </c>
      <c r="D11581" s="4" t="str">
        <f t="shared" ref="D11581:D11582" si="1713">HYPERLINK("https://12go.asia/en/travel/Cat-Ba-SSB/Hanoi-SSB", "12Go Link")</f>
        <v>12Go Link</v>
      </c>
      <c r="E11581" s="3" t="s">
        <v>9648</v>
      </c>
      <c r="K11581" s="5"/>
    </row>
    <row r="11582">
      <c r="A11582" s="3" t="s">
        <v>9610</v>
      </c>
      <c r="B11582" s="3" t="s">
        <v>9466</v>
      </c>
      <c r="C11582" s="3" t="s">
        <v>9677</v>
      </c>
      <c r="D11582" s="4" t="str">
        <f t="shared" si="1713"/>
        <v>12Go Link</v>
      </c>
      <c r="E11582" s="3" t="s">
        <v>9450</v>
      </c>
      <c r="K11582" s="5"/>
    </row>
    <row r="11583">
      <c r="A11583" s="3" t="s">
        <v>9610</v>
      </c>
      <c r="B11583" s="3" t="s">
        <v>9466</v>
      </c>
      <c r="C11583" s="3" t="s">
        <v>9678</v>
      </c>
      <c r="D11583" s="4" t="str">
        <f t="shared" ref="D11583:D11584" si="1714">HYPERLINK("https://12go.asia/en/travel/CATBAGO-Booking-Office/Hanoi-SSB", "12Go Link")</f>
        <v>12Go Link</v>
      </c>
      <c r="E11583" s="3" t="s">
        <v>9450</v>
      </c>
      <c r="K11583" s="5"/>
    </row>
    <row r="11584">
      <c r="A11584" s="3" t="s">
        <v>9610</v>
      </c>
      <c r="B11584" s="3" t="s">
        <v>9466</v>
      </c>
      <c r="C11584" s="3" t="s">
        <v>9678</v>
      </c>
      <c r="D11584" s="4" t="str">
        <f t="shared" si="1714"/>
        <v>12Go Link</v>
      </c>
      <c r="E11584" s="3" t="s">
        <v>9619</v>
      </c>
      <c r="K11584" s="5"/>
    </row>
    <row r="11585">
      <c r="A11585" s="3" t="s">
        <v>9610</v>
      </c>
      <c r="B11585" s="3" t="s">
        <v>9466</v>
      </c>
      <c r="C11585" s="3" t="s">
        <v>9679</v>
      </c>
      <c r="D11585" s="4" t="str">
        <f>HYPERLINK("https://12go.asia/en/travel/HAIPHONG-LUXURY/939-Giai-phong-Street", "12Go Link")</f>
        <v>12Go Link</v>
      </c>
      <c r="E11585" s="3" t="s">
        <v>9680</v>
      </c>
      <c r="K11585" s="5"/>
    </row>
    <row r="11586">
      <c r="A11586" s="3" t="s">
        <v>9610</v>
      </c>
      <c r="B11586" s="3" t="s">
        <v>9466</v>
      </c>
      <c r="C11586" s="3" t="s">
        <v>9681</v>
      </c>
      <c r="D11586" s="4" t="str">
        <f>HYPERLINK("https://12go.asia/en/travel/HAIPHONG-LUXURY/Hanoi-My-Dinh", "12Go Link")</f>
        <v>12Go Link</v>
      </c>
      <c r="E11586" s="3" t="s">
        <v>9680</v>
      </c>
      <c r="K11586" s="5"/>
    </row>
    <row r="11587">
      <c r="A11587" s="3" t="s">
        <v>9610</v>
      </c>
      <c r="B11587" s="3" t="s">
        <v>9466</v>
      </c>
      <c r="C11587" s="3" t="s">
        <v>9682</v>
      </c>
      <c r="D11587" s="4" t="str">
        <f t="shared" ref="D11587:D11588" si="1715">HYPERLINK("https://12go.asia/en/travel/HAIPHONG-LUXURY/Hanoi-SSB", "12Go Link")</f>
        <v>12Go Link</v>
      </c>
      <c r="E11587" s="3" t="s">
        <v>9680</v>
      </c>
      <c r="K11587" s="5"/>
    </row>
    <row r="11588">
      <c r="A11588" s="3" t="s">
        <v>9610</v>
      </c>
      <c r="B11588" s="3" t="s">
        <v>9466</v>
      </c>
      <c r="C11588" s="3" t="s">
        <v>9682</v>
      </c>
      <c r="D11588" s="4" t="str">
        <f t="shared" si="1715"/>
        <v>12Go Link</v>
      </c>
      <c r="E11588" s="3" t="s">
        <v>9450</v>
      </c>
      <c r="K11588" s="5"/>
    </row>
    <row r="11589">
      <c r="A11589" s="3" t="s">
        <v>9610</v>
      </c>
      <c r="B11589" s="3" t="s">
        <v>9639</v>
      </c>
      <c r="C11589" s="3" t="s">
        <v>9683</v>
      </c>
      <c r="D11589" s="4" t="str">
        <f>HYPERLINK("https://12go.asia/en/travel/Catba-Station-SSB/Bac-Ha-SSB", "12Go Link")</f>
        <v>12Go Link</v>
      </c>
      <c r="E11589" s="3" t="s">
        <v>9450</v>
      </c>
      <c r="K11589" s="5"/>
    </row>
    <row r="11590">
      <c r="A11590" s="3" t="s">
        <v>9610</v>
      </c>
      <c r="B11590" s="3" t="s">
        <v>9684</v>
      </c>
      <c r="C11590" s="3" t="s">
        <v>9685</v>
      </c>
      <c r="D11590" s="4" t="str">
        <f>HYPERLINK("https://12go.asia/en/travel/CATBAGO-Booking-Office/Nga-Ba-Kim-Market", "12Go Link")</f>
        <v>12Go Link</v>
      </c>
      <c r="E11590" s="3" t="s">
        <v>9450</v>
      </c>
      <c r="K11590" s="5"/>
    </row>
    <row r="11591">
      <c r="A11591" s="3" t="s">
        <v>9610</v>
      </c>
      <c r="B11591" s="3" t="s">
        <v>9684</v>
      </c>
      <c r="C11591" s="3" t="s">
        <v>9686</v>
      </c>
      <c r="D11591" s="4" t="str">
        <f>HYPERLINK("https://12go.asia/en/travel/CATBAGO-Booking-Office/Tu-Le-Luxury-SSB", "12Go Link")</f>
        <v>12Go Link</v>
      </c>
      <c r="E11591" s="3" t="s">
        <v>9450</v>
      </c>
      <c r="K11591" s="5"/>
    </row>
    <row r="11592">
      <c r="A11592" s="3" t="s">
        <v>9610</v>
      </c>
      <c r="B11592" s="3" t="s">
        <v>9684</v>
      </c>
      <c r="C11592" s="3" t="s">
        <v>9687</v>
      </c>
      <c r="D11592" s="4" t="str">
        <f>HYPERLINK("https://12go.asia/en/travel/CATBAGO-Booking-Office/Vua-Xu-Mu-Cafe", "12Go Link")</f>
        <v>12Go Link</v>
      </c>
      <c r="E11592" s="3" t="s">
        <v>9450</v>
      </c>
      <c r="K11592" s="5"/>
    </row>
    <row r="11593">
      <c r="A11593" s="3" t="s">
        <v>9610</v>
      </c>
      <c r="B11593" s="3" t="s">
        <v>9644</v>
      </c>
      <c r="C11593" s="3" t="s">
        <v>9688</v>
      </c>
      <c r="D11593" s="4" t="str">
        <f>HYPERLINK("https://12go.asia/en/travel/175a-1I4-Street/Noi-Bai-Airport", "12Go Link")</f>
        <v>12Go Link</v>
      </c>
      <c r="E11593" s="3" t="s">
        <v>9474</v>
      </c>
      <c r="K11593" s="5"/>
    </row>
    <row r="11594">
      <c r="A11594" s="3" t="s">
        <v>9610</v>
      </c>
      <c r="B11594" s="3" t="s">
        <v>9644</v>
      </c>
      <c r="C11594" s="3" t="s">
        <v>9689</v>
      </c>
      <c r="D11594" s="4" t="str">
        <f>HYPERLINK("https://12go.asia/en/travel/CATBAGO-Booking-Office/Noibai-Airport", "12Go Link")</f>
        <v>12Go Link</v>
      </c>
      <c r="E11594" s="3" t="s">
        <v>9450</v>
      </c>
      <c r="K11594" s="5"/>
    </row>
    <row r="11595">
      <c r="A11595" s="3" t="s">
        <v>9610</v>
      </c>
      <c r="B11595" s="3" t="s">
        <v>9573</v>
      </c>
      <c r="C11595" s="3" t="s">
        <v>9690</v>
      </c>
      <c r="D11595" s="4" t="str">
        <f>HYPERLINK("https://12go.asia/en/travel/CATBA-175A/Halong-SB1", "12Go Link")</f>
        <v>12Go Link</v>
      </c>
      <c r="E11595" s="3" t="s">
        <v>9671</v>
      </c>
      <c r="K11595" s="5"/>
    </row>
    <row r="11596">
      <c r="A11596" s="3" t="s">
        <v>9610</v>
      </c>
      <c r="B11596" s="3" t="s">
        <v>9691</v>
      </c>
      <c r="C11596" s="3" t="s">
        <v>9692</v>
      </c>
      <c r="D11596" s="4" t="str">
        <f>HYPERLINK("https://12go.asia/en/travel/175a-1I4-Street/23-Le-Thanh-Street", "12Go Link")</f>
        <v>12Go Link</v>
      </c>
      <c r="E11596" s="3" t="s">
        <v>9474</v>
      </c>
      <c r="K11596" s="5"/>
    </row>
    <row r="11597">
      <c r="A11597" s="3" t="s">
        <v>9610</v>
      </c>
      <c r="B11597" s="3" t="s">
        <v>9691</v>
      </c>
      <c r="C11597" s="3" t="s">
        <v>9693</v>
      </c>
      <c r="D11597" s="4" t="str">
        <f>HYPERLINK("https://12go.asia/en/travel/175a-1I4-Street/582-Duong-Dien-Bien-Phu", "12Go Link")</f>
        <v>12Go Link</v>
      </c>
      <c r="E11597" s="3" t="s">
        <v>9474</v>
      </c>
      <c r="K11597" s="5"/>
    </row>
    <row r="11598">
      <c r="A11598" s="3" t="s">
        <v>9610</v>
      </c>
      <c r="B11598" s="3" t="s">
        <v>9691</v>
      </c>
      <c r="C11598" s="3" t="s">
        <v>9694</v>
      </c>
      <c r="D11598" s="4" t="str">
        <f>HYPERLINK("https://12go.asia/en/travel/211-Nui-Ngoc/582-Duong-Dien-Bien-Phu", "12Go Link")</f>
        <v>12Go Link</v>
      </c>
      <c r="E11598" s="3" t="s">
        <v>9450</v>
      </c>
      <c r="K11598" s="5"/>
    </row>
    <row r="11599">
      <c r="A11599" s="3" t="s">
        <v>9610</v>
      </c>
      <c r="B11599" s="3" t="s">
        <v>9691</v>
      </c>
      <c r="C11599" s="3" t="s">
        <v>9695</v>
      </c>
      <c r="D11599" s="4" t="str">
        <f>HYPERLINK("https://12go.asia/en/travel/228-1I4-Street/Sapa-Bus-Stop", "12Go Link")</f>
        <v>12Go Link</v>
      </c>
      <c r="E11599" s="3" t="s">
        <v>9696</v>
      </c>
      <c r="K11599" s="5"/>
    </row>
    <row r="11600">
      <c r="A11600" s="3" t="s">
        <v>9610</v>
      </c>
      <c r="B11600" s="3" t="s">
        <v>9691</v>
      </c>
      <c r="C11600" s="3" t="s">
        <v>9697</v>
      </c>
      <c r="D11600" s="4" t="str">
        <f t="shared" ref="D11600:D11602" si="1716">HYPERLINK("https://12go.asia/en/travel/61-Hung-Vuong-Street/Sapa-SSB", "12Go Link")</f>
        <v>12Go Link</v>
      </c>
      <c r="E11600" s="3" t="s">
        <v>9616</v>
      </c>
      <c r="K11600" s="5"/>
    </row>
    <row r="11601">
      <c r="A11601" s="3" t="s">
        <v>9610</v>
      </c>
      <c r="B11601" s="3" t="s">
        <v>9691</v>
      </c>
      <c r="C11601" s="3" t="s">
        <v>9697</v>
      </c>
      <c r="D11601" s="4" t="str">
        <f t="shared" si="1716"/>
        <v>12Go Link</v>
      </c>
      <c r="E11601" s="3" t="s">
        <v>9617</v>
      </c>
      <c r="K11601" s="5"/>
    </row>
    <row r="11602">
      <c r="A11602" s="3" t="s">
        <v>9610</v>
      </c>
      <c r="B11602" s="3" t="s">
        <v>9691</v>
      </c>
      <c r="C11602" s="3" t="s">
        <v>9697</v>
      </c>
      <c r="D11602" s="4" t="str">
        <f t="shared" si="1716"/>
        <v>12Go Link</v>
      </c>
      <c r="E11602" s="3" t="s">
        <v>9538</v>
      </c>
      <c r="K11602" s="5"/>
    </row>
    <row r="11603">
      <c r="A11603" s="3" t="s">
        <v>9610</v>
      </c>
      <c r="B11603" s="3" t="s">
        <v>9691</v>
      </c>
      <c r="C11603" s="3" t="s">
        <v>9698</v>
      </c>
      <c r="D11603" s="4" t="str">
        <f>HYPERLINK("https://12go.asia/en/travel/Cat-Ba-Buffalo-Hostel/Ket-Doan-Travel-SP", "12Go Link")</f>
        <v>12Go Link</v>
      </c>
      <c r="E11603" s="3" t="s">
        <v>9450</v>
      </c>
      <c r="K11603" s="5"/>
    </row>
    <row r="11604">
      <c r="A11604" s="3" t="s">
        <v>9610</v>
      </c>
      <c r="B11604" s="3" t="s">
        <v>9691</v>
      </c>
      <c r="C11604" s="3" t="s">
        <v>9699</v>
      </c>
      <c r="D11604" s="4" t="str">
        <f>HYPERLINK("https://12go.asia/en/travel/Cat-Ba-SSB/582-Duong-Dien-Bien-Phu", "12Go Link")</f>
        <v>12Go Link</v>
      </c>
      <c r="E11604" s="3" t="s">
        <v>9450</v>
      </c>
      <c r="K11604" s="5"/>
    </row>
    <row r="11605">
      <c r="A11605" s="3" t="s">
        <v>9610</v>
      </c>
      <c r="B11605" s="3" t="s">
        <v>9691</v>
      </c>
      <c r="C11605" s="3" t="s">
        <v>9700</v>
      </c>
      <c r="D11605" s="4" t="str">
        <f>HYPERLINK("https://12go.asia/en/travel/CATBA-175A/Sapa-SSB", "12Go Link")</f>
        <v>12Go Link</v>
      </c>
      <c r="E11605" s="3" t="s">
        <v>9449</v>
      </c>
      <c r="K11605" s="5"/>
    </row>
    <row r="11606">
      <c r="A11606" s="3" t="s">
        <v>9610</v>
      </c>
      <c r="B11606" s="3" t="s">
        <v>9691</v>
      </c>
      <c r="C11606" s="3" t="s">
        <v>9701</v>
      </c>
      <c r="D11606" s="4" t="str">
        <f>HYPERLINK("https://12go.asia/en/travel/Catba-Station-SSB/Sapa-SSB", "12Go Link")</f>
        <v>12Go Link</v>
      </c>
      <c r="E11606" s="3" t="s">
        <v>9450</v>
      </c>
      <c r="K11606" s="5"/>
    </row>
    <row r="11607">
      <c r="A11607" s="3" t="s">
        <v>9610</v>
      </c>
      <c r="B11607" s="3" t="s">
        <v>9691</v>
      </c>
      <c r="C11607" s="3" t="s">
        <v>9702</v>
      </c>
      <c r="D11607" s="4" t="str">
        <f t="shared" ref="D11607:D11611" si="1717">HYPERLINK("https://12go.asia/en/travel/CATBAGO-Booking-Office/582-Duong-Dien-Bien-Phu", "12Go Link")</f>
        <v>12Go Link</v>
      </c>
      <c r="E11607" s="3" t="s">
        <v>9616</v>
      </c>
      <c r="K11607" s="5"/>
    </row>
    <row r="11608">
      <c r="A11608" s="3" t="s">
        <v>9610</v>
      </c>
      <c r="B11608" s="3" t="s">
        <v>9691</v>
      </c>
      <c r="C11608" s="3" t="s">
        <v>9702</v>
      </c>
      <c r="D11608" s="4" t="str">
        <f t="shared" si="1717"/>
        <v>12Go Link</v>
      </c>
      <c r="E11608" s="3" t="s">
        <v>9618</v>
      </c>
      <c r="K11608" s="5"/>
    </row>
    <row r="11609">
      <c r="A11609" s="3" t="s">
        <v>9610</v>
      </c>
      <c r="B11609" s="3" t="s">
        <v>9691</v>
      </c>
      <c r="C11609" s="3" t="s">
        <v>9702</v>
      </c>
      <c r="D11609" s="4" t="str">
        <f t="shared" si="1717"/>
        <v>12Go Link</v>
      </c>
      <c r="E11609" s="3" t="s">
        <v>9450</v>
      </c>
      <c r="K11609" s="5"/>
    </row>
    <row r="11610">
      <c r="A11610" s="3" t="s">
        <v>9610</v>
      </c>
      <c r="B11610" s="3" t="s">
        <v>9691</v>
      </c>
      <c r="C11610" s="3" t="s">
        <v>9702</v>
      </c>
      <c r="D11610" s="4" t="str">
        <f t="shared" si="1717"/>
        <v>12Go Link</v>
      </c>
      <c r="E11610" s="3" t="s">
        <v>9533</v>
      </c>
      <c r="K11610" s="5"/>
    </row>
    <row r="11611">
      <c r="A11611" s="3" t="s">
        <v>9610</v>
      </c>
      <c r="B11611" s="3" t="s">
        <v>9691</v>
      </c>
      <c r="C11611" s="3" t="s">
        <v>9702</v>
      </c>
      <c r="D11611" s="4" t="str">
        <f t="shared" si="1717"/>
        <v>12Go Link</v>
      </c>
      <c r="E11611" s="3" t="s">
        <v>9619</v>
      </c>
      <c r="K11611" s="5"/>
    </row>
    <row r="11612">
      <c r="A11612" s="3" t="s">
        <v>9610</v>
      </c>
      <c r="B11612" s="3" t="s">
        <v>9691</v>
      </c>
      <c r="C11612" s="3" t="s">
        <v>9703</v>
      </c>
      <c r="D11612" s="4" t="str">
        <f t="shared" ref="D11612:D11615" si="1718">HYPERLINK("https://12go.asia/en/travel/CATBAGO-Booking-Office/Sapa-SSB", "12Go Link")</f>
        <v>12Go Link</v>
      </c>
      <c r="E11612" s="3" t="s">
        <v>9618</v>
      </c>
      <c r="K11612" s="5"/>
    </row>
    <row r="11613">
      <c r="A11613" s="3" t="s">
        <v>9610</v>
      </c>
      <c r="B11613" s="3" t="s">
        <v>9691</v>
      </c>
      <c r="C11613" s="3" t="s">
        <v>9703</v>
      </c>
      <c r="D11613" s="4" t="str">
        <f t="shared" si="1718"/>
        <v>12Go Link</v>
      </c>
      <c r="E11613" s="3" t="s">
        <v>9450</v>
      </c>
      <c r="K11613" s="5"/>
    </row>
    <row r="11614">
      <c r="A11614" s="3" t="s">
        <v>9610</v>
      </c>
      <c r="B11614" s="3" t="s">
        <v>9691</v>
      </c>
      <c r="C11614" s="3" t="s">
        <v>9703</v>
      </c>
      <c r="D11614" s="4" t="str">
        <f t="shared" si="1718"/>
        <v>12Go Link</v>
      </c>
      <c r="E11614" s="3" t="s">
        <v>9533</v>
      </c>
      <c r="K11614" s="5"/>
    </row>
    <row r="11615">
      <c r="A11615" s="3" t="s">
        <v>9610</v>
      </c>
      <c r="B11615" s="3" t="s">
        <v>9691</v>
      </c>
      <c r="C11615" s="3" t="s">
        <v>9703</v>
      </c>
      <c r="D11615" s="4" t="str">
        <f t="shared" si="1718"/>
        <v>12Go Link</v>
      </c>
      <c r="E11615" s="3" t="s">
        <v>9619</v>
      </c>
      <c r="K11615" s="5"/>
    </row>
    <row r="11616">
      <c r="A11616" s="3" t="s">
        <v>9610</v>
      </c>
      <c r="B11616" s="3" t="s">
        <v>9691</v>
      </c>
      <c r="C11616" s="3" t="s">
        <v>9704</v>
      </c>
      <c r="D11616" s="4" t="str">
        <f t="shared" ref="D11616:D11617" si="1719">HYPERLINK("https://12go.asia/en/travel/HAIPHONG-LUXURY/Sapa-SSB", "12Go Link")</f>
        <v>12Go Link</v>
      </c>
      <c r="E11616" s="3" t="s">
        <v>9633</v>
      </c>
      <c r="K11616" s="5"/>
    </row>
    <row r="11617">
      <c r="A11617" s="3" t="s">
        <v>9610</v>
      </c>
      <c r="B11617" s="3" t="s">
        <v>9691</v>
      </c>
      <c r="C11617" s="3" t="s">
        <v>9704</v>
      </c>
      <c r="D11617" s="4" t="str">
        <f t="shared" si="1719"/>
        <v>12Go Link</v>
      </c>
      <c r="E11617" s="3" t="s">
        <v>9449</v>
      </c>
      <c r="K11617" s="5"/>
    </row>
    <row r="11618">
      <c r="A11618" s="3" t="s">
        <v>9625</v>
      </c>
      <c r="B11618" s="3" t="s">
        <v>9605</v>
      </c>
      <c r="C11618" s="3" t="s">
        <v>9705</v>
      </c>
      <c r="D11618" s="4" t="str">
        <f t="shared" ref="D11618:D11625" si="1720">HYPERLINK("https://12go.asia/en/travel/Boarding-point-Ruby-Cruise/Ha-Giang-Hostel", "12Go Link")</f>
        <v>12Go Link</v>
      </c>
      <c r="E11618" s="3" t="s">
        <v>9706</v>
      </c>
      <c r="K11618" s="5"/>
    </row>
    <row r="11619">
      <c r="A11619" s="3" t="s">
        <v>9625</v>
      </c>
      <c r="B11619" s="3" t="s">
        <v>9605</v>
      </c>
      <c r="C11619" s="3" t="s">
        <v>9705</v>
      </c>
      <c r="D11619" s="4" t="str">
        <f t="shared" si="1720"/>
        <v>12Go Link</v>
      </c>
      <c r="E11619" s="3" t="s">
        <v>9474</v>
      </c>
      <c r="K11619" s="5"/>
    </row>
    <row r="11620">
      <c r="A11620" s="3" t="s">
        <v>9625</v>
      </c>
      <c r="B11620" s="3" t="s">
        <v>9605</v>
      </c>
      <c r="C11620" s="3" t="s">
        <v>9705</v>
      </c>
      <c r="D11620" s="4" t="str">
        <f t="shared" si="1720"/>
        <v>12Go Link</v>
      </c>
      <c r="E11620" s="3" t="s">
        <v>9616</v>
      </c>
      <c r="K11620" s="5"/>
    </row>
    <row r="11621">
      <c r="A11621" s="3" t="s">
        <v>9625</v>
      </c>
      <c r="B11621" s="3" t="s">
        <v>9605</v>
      </c>
      <c r="C11621" s="3" t="s">
        <v>9705</v>
      </c>
      <c r="D11621" s="4" t="str">
        <f t="shared" si="1720"/>
        <v>12Go Link</v>
      </c>
      <c r="E11621" s="3" t="s">
        <v>9617</v>
      </c>
      <c r="K11621" s="5"/>
    </row>
    <row r="11622">
      <c r="A11622" s="3" t="s">
        <v>9625</v>
      </c>
      <c r="B11622" s="3" t="s">
        <v>9605</v>
      </c>
      <c r="C11622" s="3" t="s">
        <v>9705</v>
      </c>
      <c r="D11622" s="4" t="str">
        <f t="shared" si="1720"/>
        <v>12Go Link</v>
      </c>
      <c r="E11622" s="3" t="s">
        <v>9618</v>
      </c>
      <c r="K11622" s="5"/>
    </row>
    <row r="11623">
      <c r="A11623" s="3" t="s">
        <v>9625</v>
      </c>
      <c r="B11623" s="3" t="s">
        <v>9605</v>
      </c>
      <c r="C11623" s="3" t="s">
        <v>9705</v>
      </c>
      <c r="D11623" s="4" t="str">
        <f t="shared" si="1720"/>
        <v>12Go Link</v>
      </c>
      <c r="E11623" s="3" t="s">
        <v>9450</v>
      </c>
      <c r="K11623" s="5"/>
    </row>
    <row r="11624">
      <c r="A11624" s="3" t="s">
        <v>9625</v>
      </c>
      <c r="B11624" s="3" t="s">
        <v>9605</v>
      </c>
      <c r="C11624" s="3" t="s">
        <v>9705</v>
      </c>
      <c r="D11624" s="4" t="str">
        <f t="shared" si="1720"/>
        <v>12Go Link</v>
      </c>
      <c r="E11624" s="3" t="s">
        <v>9533</v>
      </c>
      <c r="K11624" s="5"/>
    </row>
    <row r="11625">
      <c r="A11625" s="3" t="s">
        <v>9625</v>
      </c>
      <c r="B11625" s="3" t="s">
        <v>9605</v>
      </c>
      <c r="C11625" s="3" t="s">
        <v>9705</v>
      </c>
      <c r="D11625" s="4" t="str">
        <f t="shared" si="1720"/>
        <v>12Go Link</v>
      </c>
      <c r="E11625" s="3" t="s">
        <v>9619</v>
      </c>
      <c r="K11625" s="5"/>
    </row>
    <row r="11626">
      <c r="A11626" s="3" t="s">
        <v>9625</v>
      </c>
      <c r="B11626" s="3" t="s">
        <v>9605</v>
      </c>
      <c r="C11626" s="3" t="s">
        <v>9707</v>
      </c>
      <c r="D11626" s="4" t="str">
        <f>HYPERLINK("https://12go.asia/en/travel/Boarding-point-Ruby-Cruise/Tan-Quang", "12Go Link")</f>
        <v>12Go Link</v>
      </c>
      <c r="E11626" s="3" t="s">
        <v>9450</v>
      </c>
      <c r="K11626" s="5"/>
    </row>
    <row r="11627">
      <c r="A11627" s="3" t="s">
        <v>9625</v>
      </c>
      <c r="B11627" s="3" t="s">
        <v>9605</v>
      </c>
      <c r="C11627" s="3" t="s">
        <v>9708</v>
      </c>
      <c r="D11627" s="4" t="str">
        <f t="shared" ref="D11627:D11633" si="1721">HYPERLINK("https://12go.asia/en/travel/Tuan-Chau-Luxxury-SSB/Ha-Giang-Hostel", "12Go Link")</f>
        <v>12Go Link</v>
      </c>
      <c r="E11627" s="3" t="s">
        <v>9706</v>
      </c>
      <c r="K11627" s="5"/>
    </row>
    <row r="11628">
      <c r="A11628" s="3" t="s">
        <v>9625</v>
      </c>
      <c r="B11628" s="3" t="s">
        <v>9605</v>
      </c>
      <c r="C11628" s="3" t="s">
        <v>9708</v>
      </c>
      <c r="D11628" s="4" t="str">
        <f t="shared" si="1721"/>
        <v>12Go Link</v>
      </c>
      <c r="E11628" s="3" t="s">
        <v>9616</v>
      </c>
      <c r="K11628" s="5"/>
    </row>
    <row r="11629">
      <c r="A11629" s="3" t="s">
        <v>9625</v>
      </c>
      <c r="B11629" s="3" t="s">
        <v>9605</v>
      </c>
      <c r="C11629" s="3" t="s">
        <v>9708</v>
      </c>
      <c r="D11629" s="4" t="str">
        <f t="shared" si="1721"/>
        <v>12Go Link</v>
      </c>
      <c r="E11629" s="3" t="s">
        <v>9617</v>
      </c>
      <c r="K11629" s="5"/>
    </row>
    <row r="11630">
      <c r="A11630" s="3" t="s">
        <v>9625</v>
      </c>
      <c r="B11630" s="3" t="s">
        <v>9605</v>
      </c>
      <c r="C11630" s="3" t="s">
        <v>9708</v>
      </c>
      <c r="D11630" s="4" t="str">
        <f t="shared" si="1721"/>
        <v>12Go Link</v>
      </c>
      <c r="E11630" s="3" t="s">
        <v>9618</v>
      </c>
      <c r="K11630" s="5"/>
    </row>
    <row r="11631">
      <c r="A11631" s="3" t="s">
        <v>9625</v>
      </c>
      <c r="B11631" s="3" t="s">
        <v>9605</v>
      </c>
      <c r="C11631" s="3" t="s">
        <v>9708</v>
      </c>
      <c r="D11631" s="4" t="str">
        <f t="shared" si="1721"/>
        <v>12Go Link</v>
      </c>
      <c r="E11631" s="3" t="s">
        <v>9450</v>
      </c>
      <c r="K11631" s="5"/>
    </row>
    <row r="11632">
      <c r="A11632" s="3" t="s">
        <v>9625</v>
      </c>
      <c r="B11632" s="3" t="s">
        <v>9605</v>
      </c>
      <c r="C11632" s="3" t="s">
        <v>9708</v>
      </c>
      <c r="D11632" s="4" t="str">
        <f t="shared" si="1721"/>
        <v>12Go Link</v>
      </c>
      <c r="E11632" s="3" t="s">
        <v>9533</v>
      </c>
      <c r="K11632" s="5"/>
    </row>
    <row r="11633">
      <c r="A11633" s="3" t="s">
        <v>9625</v>
      </c>
      <c r="B11633" s="3" t="s">
        <v>9605</v>
      </c>
      <c r="C11633" s="3" t="s">
        <v>9708</v>
      </c>
      <c r="D11633" s="4" t="str">
        <f t="shared" si="1721"/>
        <v>12Go Link</v>
      </c>
      <c r="E11633" s="3" t="s">
        <v>9619</v>
      </c>
      <c r="K11633" s="5"/>
    </row>
    <row r="11634">
      <c r="A11634" s="3" t="s">
        <v>9625</v>
      </c>
      <c r="B11634" s="3" t="s">
        <v>9605</v>
      </c>
      <c r="C11634" s="3" t="s">
        <v>9709</v>
      </c>
      <c r="D11634" s="4" t="str">
        <f>HYPERLINK("https://12go.asia/en/travel/Tuan-Chau-Luxxury-SSB/Hagiang-Hostel-AK-Group-Tour", "12Go Link")</f>
        <v>12Go Link</v>
      </c>
      <c r="E11634" s="3" t="s">
        <v>9533</v>
      </c>
      <c r="K11634" s="5"/>
    </row>
    <row r="11635">
      <c r="A11635" s="3" t="s">
        <v>9625</v>
      </c>
      <c r="B11635" s="3" t="s">
        <v>9610</v>
      </c>
      <c r="C11635" s="3" t="s">
        <v>9710</v>
      </c>
      <c r="D11635" s="4" t="str">
        <f>HYPERLINK("https://12go.asia/en/travel/Boarding-point-Ruby-Cruise/61-Hung-Vuong-Street", "12Go Link")</f>
        <v>12Go Link</v>
      </c>
      <c r="E11635" s="3" t="s">
        <v>9450</v>
      </c>
      <c r="K11635" s="5"/>
    </row>
    <row r="11636">
      <c r="A11636" s="3" t="s">
        <v>9625</v>
      </c>
      <c r="B11636" s="3" t="s">
        <v>9610</v>
      </c>
      <c r="C11636" s="3" t="s">
        <v>9711</v>
      </c>
      <c r="D11636" s="4" t="str">
        <f>HYPERLINK("https://12go.asia/en/travel/Boarding-point-Ruby-Cruise/CATBA-175A", "12Go Link")</f>
        <v>12Go Link</v>
      </c>
      <c r="E11636" s="3" t="s">
        <v>9450</v>
      </c>
      <c r="K11636" s="5"/>
    </row>
    <row r="11637">
      <c r="A11637" s="3" t="s">
        <v>9625</v>
      </c>
      <c r="B11637" s="3" t="s">
        <v>9466</v>
      </c>
      <c r="C11637" s="3" t="s">
        <v>9712</v>
      </c>
      <c r="D11637" s="4" t="str">
        <f>HYPERLINK("https://12go.asia/en/travel/Boarding-point-Ruby-Cruise/04-Hang-Chinh-Maison-Mackeno", "12Go Link")</f>
        <v>12Go Link</v>
      </c>
      <c r="E11637" s="3" t="s">
        <v>9474</v>
      </c>
      <c r="K11637" s="5"/>
    </row>
    <row r="11638">
      <c r="A11638" s="3" t="s">
        <v>9625</v>
      </c>
      <c r="B11638" s="3" t="s">
        <v>9466</v>
      </c>
      <c r="C11638" s="3" t="s">
        <v>9713</v>
      </c>
      <c r="D11638" s="4" t="str">
        <f>HYPERLINK("https://12go.asia/en/travel/Boarding-point-Ruby-Cruise/16-Hang-Chinh-Hanoi", "12Go Link")</f>
        <v>12Go Link</v>
      </c>
      <c r="E11638" s="3" t="s">
        <v>9474</v>
      </c>
      <c r="K11638" s="5"/>
    </row>
    <row r="11639">
      <c r="A11639" s="3" t="s">
        <v>9625</v>
      </c>
      <c r="B11639" s="3" t="s">
        <v>9466</v>
      </c>
      <c r="C11639" s="3" t="s">
        <v>9714</v>
      </c>
      <c r="D11639" s="4" t="str">
        <f t="shared" ref="D11639:D11645" si="1722">HYPERLINK("https://12go.asia/en/travel/Boarding-point-Ruby-Cruise/Hanoi-SSB", "12Go Link")</f>
        <v>12Go Link</v>
      </c>
      <c r="E11639" s="3" t="s">
        <v>9706</v>
      </c>
      <c r="K11639" s="5"/>
    </row>
    <row r="11640">
      <c r="A11640" s="3" t="s">
        <v>9625</v>
      </c>
      <c r="B11640" s="3" t="s">
        <v>9466</v>
      </c>
      <c r="C11640" s="3" t="s">
        <v>9714</v>
      </c>
      <c r="D11640" s="4" t="str">
        <f t="shared" si="1722"/>
        <v>12Go Link</v>
      </c>
      <c r="E11640" s="3" t="s">
        <v>9616</v>
      </c>
      <c r="K11640" s="5"/>
    </row>
    <row r="11641">
      <c r="A11641" s="3" t="s">
        <v>9625</v>
      </c>
      <c r="B11641" s="3" t="s">
        <v>9466</v>
      </c>
      <c r="C11641" s="3" t="s">
        <v>9714</v>
      </c>
      <c r="D11641" s="4" t="str">
        <f t="shared" si="1722"/>
        <v>12Go Link</v>
      </c>
      <c r="E11641" s="3" t="s">
        <v>9617</v>
      </c>
      <c r="K11641" s="5"/>
    </row>
    <row r="11642">
      <c r="A11642" s="3" t="s">
        <v>9625</v>
      </c>
      <c r="B11642" s="3" t="s">
        <v>9466</v>
      </c>
      <c r="C11642" s="3" t="s">
        <v>9714</v>
      </c>
      <c r="D11642" s="4" t="str">
        <f t="shared" si="1722"/>
        <v>12Go Link</v>
      </c>
      <c r="E11642" s="3" t="s">
        <v>9618</v>
      </c>
      <c r="K11642" s="5"/>
    </row>
    <row r="11643">
      <c r="A11643" s="3" t="s">
        <v>9625</v>
      </c>
      <c r="B11643" s="3" t="s">
        <v>9466</v>
      </c>
      <c r="C11643" s="3" t="s">
        <v>9714</v>
      </c>
      <c r="D11643" s="4" t="str">
        <f t="shared" si="1722"/>
        <v>12Go Link</v>
      </c>
      <c r="E11643" s="3" t="s">
        <v>9450</v>
      </c>
      <c r="K11643" s="5"/>
    </row>
    <row r="11644">
      <c r="A11644" s="3" t="s">
        <v>9625</v>
      </c>
      <c r="B11644" s="3" t="s">
        <v>9466</v>
      </c>
      <c r="C11644" s="3" t="s">
        <v>9714</v>
      </c>
      <c r="D11644" s="4" t="str">
        <f t="shared" si="1722"/>
        <v>12Go Link</v>
      </c>
      <c r="E11644" s="3" t="s">
        <v>9533</v>
      </c>
      <c r="K11644" s="5"/>
    </row>
    <row r="11645">
      <c r="A11645" s="3" t="s">
        <v>9625</v>
      </c>
      <c r="B11645" s="3" t="s">
        <v>9466</v>
      </c>
      <c r="C11645" s="3" t="s">
        <v>9714</v>
      </c>
      <c r="D11645" s="4" t="str">
        <f t="shared" si="1722"/>
        <v>12Go Link</v>
      </c>
      <c r="E11645" s="3" t="s">
        <v>9619</v>
      </c>
      <c r="K11645" s="5"/>
    </row>
    <row r="11646">
      <c r="A11646" s="3" t="s">
        <v>9625</v>
      </c>
      <c r="B11646" s="3" t="s">
        <v>9466</v>
      </c>
      <c r="C11646" s="3" t="s">
        <v>9715</v>
      </c>
      <c r="D11646" s="4" t="str">
        <f t="shared" ref="D11646:D11647" si="1723">HYPERLINK("https://12go.asia/en/travel/Tuan-Chau-Luxxury-SSB/Hanoi-SSB", "12Go Link")</f>
        <v>12Go Link</v>
      </c>
      <c r="E11646" s="3" t="s">
        <v>9607</v>
      </c>
      <c r="K11646" s="5"/>
    </row>
    <row r="11647">
      <c r="A11647" s="3" t="s">
        <v>9625</v>
      </c>
      <c r="B11647" s="3" t="s">
        <v>9466</v>
      </c>
      <c r="C11647" s="3" t="s">
        <v>9715</v>
      </c>
      <c r="D11647" s="4" t="str">
        <f t="shared" si="1723"/>
        <v>12Go Link</v>
      </c>
      <c r="E11647" s="3" t="s">
        <v>9450</v>
      </c>
      <c r="K11647" s="5"/>
    </row>
    <row r="11648">
      <c r="A11648" s="3" t="s">
        <v>9625</v>
      </c>
      <c r="B11648" s="3" t="s">
        <v>9539</v>
      </c>
      <c r="C11648" s="3" t="s">
        <v>9716</v>
      </c>
      <c r="D11648" s="4" t="str">
        <f>HYPERLINK("https://12go.asia/en/travel/B118-Anh-Dao-Pho-Co-Bai-Chay/Pho-Co-Hoa-Lu", "12Go Link")</f>
        <v>12Go Link</v>
      </c>
      <c r="E11648" s="3" t="s">
        <v>9513</v>
      </c>
      <c r="K11648" s="5"/>
    </row>
    <row r="11649">
      <c r="A11649" s="3" t="s">
        <v>9625</v>
      </c>
      <c r="B11649" s="3" t="s">
        <v>9539</v>
      </c>
      <c r="C11649" s="3" t="s">
        <v>9717</v>
      </c>
      <c r="D11649" s="4" t="str">
        <f>HYPERLINK("https://12go.asia/en/travel/B118-Anh-Dao-Pho-Co-Bai-Chay/Trang-An-Boat-Station", "12Go Link")</f>
        <v>12Go Link</v>
      </c>
      <c r="E11649" s="3" t="s">
        <v>9513</v>
      </c>
      <c r="K11649" s="5"/>
    </row>
    <row r="11650">
      <c r="A11650" s="3" t="s">
        <v>9625</v>
      </c>
      <c r="B11650" s="3" t="s">
        <v>9644</v>
      </c>
      <c r="C11650" s="3" t="s">
        <v>9718</v>
      </c>
      <c r="D11650" s="4" t="str">
        <f>HYPERLINK("https://12go.asia/en/travel/Boarding-point-Ruby-Cruise/Noi-Bai-Airport", "12Go Link")</f>
        <v>12Go Link</v>
      </c>
      <c r="E11650" s="3" t="s">
        <v>9474</v>
      </c>
      <c r="K11650" s="5"/>
    </row>
    <row r="11651">
      <c r="A11651" s="3" t="s">
        <v>9625</v>
      </c>
      <c r="B11651" s="3" t="s">
        <v>9644</v>
      </c>
      <c r="C11651" s="3" t="s">
        <v>9719</v>
      </c>
      <c r="D11651" s="4" t="str">
        <f>HYPERLINK("https://12go.asia/en/travel/Tuan-Chau-Luxxury-SSB/Noibai-Airport", "12Go Link")</f>
        <v>12Go Link</v>
      </c>
      <c r="E11651" s="3" t="s">
        <v>9450</v>
      </c>
      <c r="K11651" s="5"/>
    </row>
    <row r="11652">
      <c r="A11652" s="3" t="s">
        <v>9625</v>
      </c>
      <c r="B11652" s="3" t="s">
        <v>9691</v>
      </c>
      <c r="C11652" s="3" t="s">
        <v>9720</v>
      </c>
      <c r="D11652" s="4" t="str">
        <f>HYPERLINK("https://12go.asia/en/travel/Boarding-point-Ruby-Cruise/23-Le-Thanh-Street", "12Go Link")</f>
        <v>12Go Link</v>
      </c>
      <c r="E11652" s="3" t="s">
        <v>9474</v>
      </c>
      <c r="K11652" s="5"/>
    </row>
    <row r="11653">
      <c r="A11653" s="3" t="s">
        <v>9625</v>
      </c>
      <c r="B11653" s="3" t="s">
        <v>9691</v>
      </c>
      <c r="C11653" s="3" t="s">
        <v>9721</v>
      </c>
      <c r="D11653" s="4" t="str">
        <f t="shared" ref="D11653:D11655" si="1724">HYPERLINK("https://12go.asia/en/travel/Boarding-point-Ruby-Cruise/582-Duong-Dien-Bien-Phu", "12Go Link")</f>
        <v>12Go Link</v>
      </c>
      <c r="E11653" s="3" t="s">
        <v>9474</v>
      </c>
      <c r="K11653" s="5"/>
    </row>
    <row r="11654">
      <c r="A11654" s="3" t="s">
        <v>9625</v>
      </c>
      <c r="B11654" s="3" t="s">
        <v>9691</v>
      </c>
      <c r="C11654" s="3" t="s">
        <v>9721</v>
      </c>
      <c r="D11654" s="4" t="str">
        <f t="shared" si="1724"/>
        <v>12Go Link</v>
      </c>
      <c r="E11654" s="3" t="s">
        <v>9616</v>
      </c>
      <c r="K11654" s="5"/>
    </row>
    <row r="11655">
      <c r="A11655" s="3" t="s">
        <v>9625</v>
      </c>
      <c r="B11655" s="3" t="s">
        <v>9691</v>
      </c>
      <c r="C11655" s="3" t="s">
        <v>9721</v>
      </c>
      <c r="D11655" s="4" t="str">
        <f t="shared" si="1724"/>
        <v>12Go Link</v>
      </c>
      <c r="E11655" s="3" t="s">
        <v>9617</v>
      </c>
      <c r="K11655" s="5"/>
    </row>
    <row r="11656">
      <c r="A11656" s="3" t="s">
        <v>9625</v>
      </c>
      <c r="B11656" s="3" t="s">
        <v>9691</v>
      </c>
      <c r="C11656" s="3" t="s">
        <v>9722</v>
      </c>
      <c r="D11656" s="4" t="str">
        <f t="shared" ref="D11656:D11663" si="1725">HYPERLINK("https://12go.asia/en/travel/Boarding-point-Ruby-Cruise/Sapa-SSB", "12Go Link")</f>
        <v>12Go Link</v>
      </c>
      <c r="E11656" s="3" t="s">
        <v>9706</v>
      </c>
      <c r="K11656" s="5"/>
    </row>
    <row r="11657">
      <c r="A11657" s="3" t="s">
        <v>9625</v>
      </c>
      <c r="B11657" s="3" t="s">
        <v>9691</v>
      </c>
      <c r="C11657" s="3" t="s">
        <v>9722</v>
      </c>
      <c r="D11657" s="4" t="str">
        <f t="shared" si="1725"/>
        <v>12Go Link</v>
      </c>
      <c r="E11657" s="3" t="s">
        <v>9616</v>
      </c>
      <c r="K11657" s="5"/>
    </row>
    <row r="11658">
      <c r="A11658" s="3" t="s">
        <v>9625</v>
      </c>
      <c r="B11658" s="3" t="s">
        <v>9691</v>
      </c>
      <c r="C11658" s="3" t="s">
        <v>9722</v>
      </c>
      <c r="D11658" s="4" t="str">
        <f t="shared" si="1725"/>
        <v>12Go Link</v>
      </c>
      <c r="E11658" s="3" t="s">
        <v>9617</v>
      </c>
      <c r="K11658" s="5"/>
    </row>
    <row r="11659">
      <c r="A11659" s="3" t="s">
        <v>9625</v>
      </c>
      <c r="B11659" s="3" t="s">
        <v>9691</v>
      </c>
      <c r="C11659" s="3" t="s">
        <v>9722</v>
      </c>
      <c r="D11659" s="4" t="str">
        <f t="shared" si="1725"/>
        <v>12Go Link</v>
      </c>
      <c r="E11659" s="3" t="s">
        <v>9538</v>
      </c>
      <c r="K11659" s="5"/>
    </row>
    <row r="11660">
      <c r="A11660" s="3" t="s">
        <v>9625</v>
      </c>
      <c r="B11660" s="3" t="s">
        <v>9691</v>
      </c>
      <c r="C11660" s="3" t="s">
        <v>9722</v>
      </c>
      <c r="D11660" s="4" t="str">
        <f t="shared" si="1725"/>
        <v>12Go Link</v>
      </c>
      <c r="E11660" s="3" t="s">
        <v>9618</v>
      </c>
      <c r="K11660" s="5"/>
    </row>
    <row r="11661">
      <c r="A11661" s="3" t="s">
        <v>9625</v>
      </c>
      <c r="B11661" s="3" t="s">
        <v>9691</v>
      </c>
      <c r="C11661" s="3" t="s">
        <v>9722</v>
      </c>
      <c r="D11661" s="4" t="str">
        <f t="shared" si="1725"/>
        <v>12Go Link</v>
      </c>
      <c r="E11661" s="3" t="s">
        <v>9450</v>
      </c>
      <c r="K11661" s="5"/>
    </row>
    <row r="11662">
      <c r="A11662" s="3" t="s">
        <v>9625</v>
      </c>
      <c r="B11662" s="3" t="s">
        <v>9691</v>
      </c>
      <c r="C11662" s="3" t="s">
        <v>9722</v>
      </c>
      <c r="D11662" s="4" t="str">
        <f t="shared" si="1725"/>
        <v>12Go Link</v>
      </c>
      <c r="E11662" s="3" t="s">
        <v>9533</v>
      </c>
      <c r="K11662" s="5"/>
    </row>
    <row r="11663">
      <c r="A11663" s="3" t="s">
        <v>9625</v>
      </c>
      <c r="B11663" s="3" t="s">
        <v>9691</v>
      </c>
      <c r="C11663" s="3" t="s">
        <v>9722</v>
      </c>
      <c r="D11663" s="4" t="str">
        <f t="shared" si="1725"/>
        <v>12Go Link</v>
      </c>
      <c r="E11663" s="3" t="s">
        <v>9619</v>
      </c>
      <c r="K11663" s="5"/>
    </row>
    <row r="11664">
      <c r="A11664" s="3" t="s">
        <v>9625</v>
      </c>
      <c r="B11664" s="3" t="s">
        <v>9691</v>
      </c>
      <c r="C11664" s="3" t="s">
        <v>9723</v>
      </c>
      <c r="D11664" s="4" t="str">
        <f>HYPERLINK("https://12go.asia/en/travel/Tuan-Chau-Luxxury-SSB/Sapa-SSB", "12Go Link")</f>
        <v>12Go Link</v>
      </c>
      <c r="E11664" s="3" t="s">
        <v>9449</v>
      </c>
      <c r="K11664" s="5"/>
    </row>
    <row r="11665">
      <c r="A11665" s="3" t="s">
        <v>9466</v>
      </c>
      <c r="B11665" s="3" t="s">
        <v>9447</v>
      </c>
      <c r="C11665" s="3" t="s">
        <v>9724</v>
      </c>
      <c r="D11665" s="4" t="str">
        <f>HYPERLINK("https://12go.asia/en/travel/12-Pham-Van-Dong/255-Le-Thach", "12Go Link")</f>
        <v>12Go Link</v>
      </c>
      <c r="E11665" s="3" t="s">
        <v>9633</v>
      </c>
      <c r="K11665" s="5"/>
    </row>
    <row r="11666">
      <c r="A11666" s="3" t="s">
        <v>9466</v>
      </c>
      <c r="B11666" s="3" t="s">
        <v>9447</v>
      </c>
      <c r="C11666" s="3" t="s">
        <v>9725</v>
      </c>
      <c r="D11666" s="4" t="str">
        <f>HYPERLINK("https://12go.asia/en/travel/12-Pham-Van-Dong/Ba-Na-Hills-Golden-Bridge", "12Go Link")</f>
        <v>12Go Link</v>
      </c>
      <c r="E11666" s="3" t="s">
        <v>9633</v>
      </c>
      <c r="K11666" s="5"/>
    </row>
    <row r="11667">
      <c r="A11667" s="3" t="s">
        <v>9466</v>
      </c>
      <c r="B11667" s="3" t="s">
        <v>9447</v>
      </c>
      <c r="C11667" s="3" t="s">
        <v>9726</v>
      </c>
      <c r="D11667" s="4" t="str">
        <f>HYPERLINK("https://12go.asia/en/travel/12-Pham-Van-Dong/Da-Nang-Bus-Central-Station", "12Go Link")</f>
        <v>12Go Link</v>
      </c>
      <c r="E11667" s="3" t="s">
        <v>9633</v>
      </c>
      <c r="K11667" s="5"/>
    </row>
    <row r="11668">
      <c r="A11668" s="3" t="s">
        <v>9466</v>
      </c>
      <c r="B11668" s="3" t="s">
        <v>9447</v>
      </c>
      <c r="C11668" s="3" t="s">
        <v>9727</v>
      </c>
      <c r="D11668" s="4" t="str">
        <f>HYPERLINK("https://12go.asia/en/travel/12-Pham-Van-Dong/My-Khe-Beach-at-Ebisu-Sushi-Restaurant", "12Go Link")</f>
        <v>12Go Link</v>
      </c>
      <c r="E11668" s="3" t="s">
        <v>9633</v>
      </c>
      <c r="K11668" s="5"/>
    </row>
    <row r="11669">
      <c r="A11669" s="3" t="s">
        <v>9466</v>
      </c>
      <c r="B11669" s="3" t="s">
        <v>9447</v>
      </c>
      <c r="C11669" s="3" t="s">
        <v>9728</v>
      </c>
      <c r="D11669" s="4" t="str">
        <f>HYPERLINK("https://12go.asia/en/travel/204-Tran-Quang-Khai/28-February-3rd-Street", "12Go Link")</f>
        <v>12Go Link</v>
      </c>
      <c r="E11669" s="3" t="s">
        <v>9374</v>
      </c>
      <c r="K11669" s="5"/>
    </row>
    <row r="11670">
      <c r="A11670" s="3" t="s">
        <v>9466</v>
      </c>
      <c r="B11670" s="3" t="s">
        <v>9447</v>
      </c>
      <c r="C11670" s="3" t="s">
        <v>9729</v>
      </c>
      <c r="D11670" s="4" t="str">
        <f>HYPERLINK("https://12go.asia/en/travel/459-Tran-Khat-Chan/65-February-3rd-Street", "12Go Link")</f>
        <v>12Go Link</v>
      </c>
      <c r="E11670" s="3" t="s">
        <v>9474</v>
      </c>
      <c r="K11670" s="5"/>
    </row>
    <row r="11671">
      <c r="A11671" s="3" t="s">
        <v>9466</v>
      </c>
      <c r="B11671" s="3" t="s">
        <v>9447</v>
      </c>
      <c r="C11671" s="3" t="s">
        <v>9730</v>
      </c>
      <c r="D11671" s="4" t="str">
        <f>HYPERLINK("https://12go.asia/en/travel/Duc-Duong-Office-Ha-noi/28-February-3rd-Street", "12Go Link")</f>
        <v>12Go Link</v>
      </c>
      <c r="E11671" s="3" t="s">
        <v>9374</v>
      </c>
      <c r="K11671" s="5"/>
    </row>
    <row r="11672">
      <c r="A11672" s="3" t="s">
        <v>9466</v>
      </c>
      <c r="B11672" s="3" t="s">
        <v>9447</v>
      </c>
      <c r="C11672" s="3" t="s">
        <v>9731</v>
      </c>
      <c r="D11672" s="4" t="str">
        <f>HYPERLINK("https://12go.asia/en/travel/Duc-Duong-Office-Ha-noi/41-February-3rd-Street", "12Go Link")</f>
        <v>12Go Link</v>
      </c>
      <c r="E11672" s="3" t="s">
        <v>9374</v>
      </c>
      <c r="K11672" s="5"/>
    </row>
    <row r="11673">
      <c r="A11673" s="3" t="s">
        <v>9466</v>
      </c>
      <c r="B11673" s="3" t="s">
        <v>9447</v>
      </c>
      <c r="C11673" s="3" t="s">
        <v>9732</v>
      </c>
      <c r="D11673" s="4" t="str">
        <f>HYPERLINK("https://12go.asia/en/travel/Parking-lot-Cuaong-Limousine/Danava-Travel", "12Go Link")</f>
        <v>12Go Link</v>
      </c>
      <c r="E11673" s="3" t="s">
        <v>9733</v>
      </c>
      <c r="K11673" s="5"/>
    </row>
    <row r="11674">
      <c r="A11674" s="3" t="s">
        <v>9466</v>
      </c>
      <c r="B11674" s="3" t="s">
        <v>9447</v>
      </c>
      <c r="C11674" s="3" t="s">
        <v>9734</v>
      </c>
      <c r="D11674" s="4" t="str">
        <f>HYPERLINK("https://12go.asia/en/travel/Parking-lot-Cuaong-Limousine/Danava-Travel-16-Road-32", "12Go Link")</f>
        <v>12Go Link</v>
      </c>
      <c r="E11674" s="3" t="s">
        <v>9733</v>
      </c>
      <c r="K11674" s="5"/>
    </row>
    <row r="11675">
      <c r="A11675" s="3" t="s">
        <v>9466</v>
      </c>
      <c r="B11675" s="3" t="s">
        <v>9447</v>
      </c>
      <c r="C11675" s="3" t="s">
        <v>9735</v>
      </c>
      <c r="D11675" s="4" t="str">
        <f>HYPERLINK("https://12go.asia/en/travel/SDT-Hanoi-Office/Da-Nang-An-Phu", "12Go Link")</f>
        <v>12Go Link</v>
      </c>
      <c r="E11675" s="3" t="s">
        <v>9449</v>
      </c>
      <c r="K11675" s="5"/>
    </row>
    <row r="11676">
      <c r="A11676" s="3" t="s">
        <v>9466</v>
      </c>
      <c r="B11676" s="3" t="s">
        <v>9447</v>
      </c>
      <c r="C11676" s="3" t="s">
        <v>9736</v>
      </c>
      <c r="D11676" s="4" t="str">
        <f>HYPERLINK("https://12go.asia/en/travel/T-Travel/28-February-3rd-Street", "12Go Link")</f>
        <v>12Go Link</v>
      </c>
      <c r="E11676" s="3" t="s">
        <v>9374</v>
      </c>
      <c r="K11676" s="5"/>
    </row>
    <row r="11677">
      <c r="A11677" s="3" t="s">
        <v>9466</v>
      </c>
      <c r="B11677" s="3" t="s">
        <v>9447</v>
      </c>
      <c r="C11677" s="3" t="s">
        <v>9737</v>
      </c>
      <c r="D11677" s="4" t="str">
        <f>HYPERLINK("https://12go.asia/en/travel/T-Travel/41-February-3rd-Street", "12Go Link")</f>
        <v>12Go Link</v>
      </c>
      <c r="E11677" s="3" t="s">
        <v>9374</v>
      </c>
      <c r="K11677" s="5"/>
    </row>
    <row r="11678">
      <c r="A11678" s="3" t="s">
        <v>9466</v>
      </c>
      <c r="B11678" s="3" t="s">
        <v>9463</v>
      </c>
      <c r="C11678" s="3" t="s">
        <v>9738</v>
      </c>
      <c r="D11678" s="4" t="str">
        <f>HYPERLINK("https://12go.asia/en/travel/SDT-Hanoi-Office/Thang-Long-Hotel", "12Go Link")</f>
        <v>12Go Link</v>
      </c>
      <c r="E11678" s="3" t="s">
        <v>9449</v>
      </c>
      <c r="K11678" s="5"/>
    </row>
    <row r="11679">
      <c r="A11679" s="3" t="s">
        <v>9466</v>
      </c>
      <c r="B11679" s="3" t="s">
        <v>9605</v>
      </c>
      <c r="C11679" s="3" t="s">
        <v>9739</v>
      </c>
      <c r="D11679" s="4" t="str">
        <f t="shared" ref="D11679:D11681" si="1726">HYPERLINK("https://12go.asia/en/travel/04-Hang-Chinh-Maison-Mackeno/Ha-Giang-Hostel", "12Go Link")</f>
        <v>12Go Link</v>
      </c>
      <c r="E11679" s="3" t="s">
        <v>9474</v>
      </c>
      <c r="K11679" s="5"/>
    </row>
    <row r="11680">
      <c r="A11680" s="3" t="s">
        <v>9466</v>
      </c>
      <c r="B11680" s="3" t="s">
        <v>9605</v>
      </c>
      <c r="C11680" s="3" t="s">
        <v>9739</v>
      </c>
      <c r="D11680" s="4" t="str">
        <f t="shared" si="1726"/>
        <v>12Go Link</v>
      </c>
      <c r="E11680" s="3" t="s">
        <v>9450</v>
      </c>
      <c r="K11680" s="5"/>
    </row>
    <row r="11681">
      <c r="A11681" s="3" t="s">
        <v>9466</v>
      </c>
      <c r="B11681" s="3" t="s">
        <v>9605</v>
      </c>
      <c r="C11681" s="3" t="s">
        <v>9739</v>
      </c>
      <c r="D11681" s="4" t="str">
        <f t="shared" si="1726"/>
        <v>12Go Link</v>
      </c>
      <c r="E11681" s="3" t="s">
        <v>9636</v>
      </c>
      <c r="K11681" s="5"/>
    </row>
    <row r="11682">
      <c r="A11682" s="3" t="s">
        <v>9466</v>
      </c>
      <c r="B11682" s="3" t="s">
        <v>9605</v>
      </c>
      <c r="C11682" s="3" t="s">
        <v>9740</v>
      </c>
      <c r="D11682" s="4" t="str">
        <f>HYPERLINK("https://12go.asia/en/travel/16-Hang-Chinh-Hanoi/Ha-Giang-Hostel", "12Go Link")</f>
        <v>12Go Link</v>
      </c>
      <c r="E11682" s="3" t="s">
        <v>9474</v>
      </c>
      <c r="K11682" s="5"/>
    </row>
    <row r="11683">
      <c r="A11683" s="3" t="s">
        <v>9466</v>
      </c>
      <c r="B11683" s="3" t="s">
        <v>9605</v>
      </c>
      <c r="C11683" s="3" t="s">
        <v>9741</v>
      </c>
      <c r="D11683" s="4" t="str">
        <f t="shared" ref="D11683:D11687" si="1727">HYPERLINK("https://12go.asia/en/travel/Hanoi/Ha-Giang", "12Go Link")</f>
        <v>12Go Link</v>
      </c>
      <c r="E11683" s="3" t="s">
        <v>222</v>
      </c>
      <c r="K11683" s="5"/>
    </row>
    <row r="11684">
      <c r="A11684" s="3" t="s">
        <v>9466</v>
      </c>
      <c r="B11684" s="3" t="s">
        <v>9605</v>
      </c>
      <c r="C11684" s="3" t="s">
        <v>9741</v>
      </c>
      <c r="D11684" s="4" t="str">
        <f t="shared" si="1727"/>
        <v>12Go Link</v>
      </c>
      <c r="E11684" s="3" t="s">
        <v>6599</v>
      </c>
      <c r="K11684" s="5"/>
    </row>
    <row r="11685">
      <c r="A11685" s="3" t="s">
        <v>9466</v>
      </c>
      <c r="B11685" s="3" t="s">
        <v>9605</v>
      </c>
      <c r="C11685" s="3" t="s">
        <v>9741</v>
      </c>
      <c r="D11685" s="4" t="str">
        <f t="shared" si="1727"/>
        <v>12Go Link</v>
      </c>
      <c r="E11685" s="3" t="s">
        <v>9395</v>
      </c>
      <c r="K11685" s="5"/>
    </row>
    <row r="11686">
      <c r="A11686" s="3" t="s">
        <v>9466</v>
      </c>
      <c r="B11686" s="3" t="s">
        <v>9605</v>
      </c>
      <c r="C11686" s="3" t="s">
        <v>9741</v>
      </c>
      <c r="D11686" s="4" t="str">
        <f t="shared" si="1727"/>
        <v>12Go Link</v>
      </c>
      <c r="E11686" s="3" t="s">
        <v>9396</v>
      </c>
      <c r="K11686" s="5"/>
    </row>
    <row r="11687">
      <c r="A11687" s="3" t="s">
        <v>9466</v>
      </c>
      <c r="B11687" s="3" t="s">
        <v>9605</v>
      </c>
      <c r="C11687" s="3" t="s">
        <v>9741</v>
      </c>
      <c r="D11687" s="4" t="str">
        <f t="shared" si="1727"/>
        <v>12Go Link</v>
      </c>
      <c r="E11687" s="3" t="s">
        <v>7470</v>
      </c>
      <c r="K11687" s="5"/>
    </row>
    <row r="11688">
      <c r="A11688" s="3" t="s">
        <v>9466</v>
      </c>
      <c r="B11688" s="3" t="s">
        <v>9605</v>
      </c>
      <c r="C11688" s="3" t="s">
        <v>9742</v>
      </c>
      <c r="D11688" s="4" t="str">
        <f>HYPERLINK("https://12go.asia/en/travel/Hanoi-Noi-Bai-Airport/Ha-Giang-Hostel", "12Go Link")</f>
        <v>12Go Link</v>
      </c>
      <c r="E11688" s="3" t="s">
        <v>9533</v>
      </c>
      <c r="K11688" s="5"/>
    </row>
    <row r="11689">
      <c r="A11689" s="3" t="s">
        <v>9466</v>
      </c>
      <c r="B11689" s="3" t="s">
        <v>9605</v>
      </c>
      <c r="C11689" s="3" t="s">
        <v>9743</v>
      </c>
      <c r="D11689" s="4" t="str">
        <f t="shared" ref="D11689:D11690" si="1728">HYPERLINK("https://12go.asia/en/travel/Hanoi-SSB/100-Tran-Phu-Ha-Giang", "12Go Link")</f>
        <v>12Go Link</v>
      </c>
      <c r="E11689" s="3" t="s">
        <v>9450</v>
      </c>
      <c r="K11689" s="5"/>
    </row>
    <row r="11690">
      <c r="A11690" s="3" t="s">
        <v>9466</v>
      </c>
      <c r="B11690" s="3" t="s">
        <v>9605</v>
      </c>
      <c r="C11690" s="3" t="s">
        <v>9743</v>
      </c>
      <c r="D11690" s="4" t="str">
        <f t="shared" si="1728"/>
        <v>12Go Link</v>
      </c>
      <c r="E11690" s="3" t="s">
        <v>9533</v>
      </c>
      <c r="K11690" s="5"/>
    </row>
    <row r="11691">
      <c r="A11691" s="3" t="s">
        <v>9466</v>
      </c>
      <c r="B11691" s="3" t="s">
        <v>9605</v>
      </c>
      <c r="C11691" s="3" t="s">
        <v>9744</v>
      </c>
      <c r="D11691" s="4" t="str">
        <f>HYPERLINK("https://12go.asia/en/travel/Hanoi-SSB/Ha-Giang-Hostel", "12Go Link")</f>
        <v>12Go Link</v>
      </c>
      <c r="E11691" s="3" t="s">
        <v>9533</v>
      </c>
      <c r="K11691" s="5"/>
    </row>
    <row r="11692">
      <c r="A11692" s="3" t="s">
        <v>9466</v>
      </c>
      <c r="B11692" s="3" t="s">
        <v>9605</v>
      </c>
      <c r="C11692" s="3" t="s">
        <v>9745</v>
      </c>
      <c r="D11692" s="4" t="str">
        <f>HYPERLINK("https://12go.asia/en/travel/Hanoi-SSB/Tan-Quang", "12Go Link")</f>
        <v>12Go Link</v>
      </c>
      <c r="E11692" s="3" t="s">
        <v>9450</v>
      </c>
      <c r="K11692" s="5"/>
    </row>
    <row r="11693">
      <c r="A11693" s="3" t="s">
        <v>9466</v>
      </c>
      <c r="B11693" s="3" t="s">
        <v>9605</v>
      </c>
      <c r="C11693" s="3" t="s">
        <v>9746</v>
      </c>
      <c r="D11693" s="4" t="str">
        <f t="shared" ref="D11693:D11697" si="1729">HYPERLINK("https://12go.asia/en/travel/Noi-Bai-Airport/Ha-Giang", "12Go Link")</f>
        <v>12Go Link</v>
      </c>
      <c r="E11693" s="3" t="s">
        <v>222</v>
      </c>
      <c r="K11693" s="5"/>
    </row>
    <row r="11694">
      <c r="A11694" s="3" t="s">
        <v>9466</v>
      </c>
      <c r="B11694" s="3" t="s">
        <v>9605</v>
      </c>
      <c r="C11694" s="3" t="s">
        <v>9746</v>
      </c>
      <c r="D11694" s="4" t="str">
        <f t="shared" si="1729"/>
        <v>12Go Link</v>
      </c>
      <c r="E11694" s="3" t="s">
        <v>6599</v>
      </c>
      <c r="K11694" s="5"/>
    </row>
    <row r="11695">
      <c r="A11695" s="3" t="s">
        <v>9466</v>
      </c>
      <c r="B11695" s="3" t="s">
        <v>9605</v>
      </c>
      <c r="C11695" s="3" t="s">
        <v>9746</v>
      </c>
      <c r="D11695" s="4" t="str">
        <f t="shared" si="1729"/>
        <v>12Go Link</v>
      </c>
      <c r="E11695" s="3" t="s">
        <v>9395</v>
      </c>
      <c r="K11695" s="5"/>
    </row>
    <row r="11696">
      <c r="A11696" s="3" t="s">
        <v>9466</v>
      </c>
      <c r="B11696" s="3" t="s">
        <v>9605</v>
      </c>
      <c r="C11696" s="3" t="s">
        <v>9746</v>
      </c>
      <c r="D11696" s="4" t="str">
        <f t="shared" si="1729"/>
        <v>12Go Link</v>
      </c>
      <c r="E11696" s="3" t="s">
        <v>9396</v>
      </c>
      <c r="K11696" s="5"/>
    </row>
    <row r="11697">
      <c r="A11697" s="3" t="s">
        <v>9466</v>
      </c>
      <c r="B11697" s="3" t="s">
        <v>9605</v>
      </c>
      <c r="C11697" s="3" t="s">
        <v>9746</v>
      </c>
      <c r="D11697" s="4" t="str">
        <f t="shared" si="1729"/>
        <v>12Go Link</v>
      </c>
      <c r="E11697" s="3" t="s">
        <v>7470</v>
      </c>
      <c r="K11697" s="5"/>
    </row>
    <row r="11698">
      <c r="A11698" s="3" t="s">
        <v>9466</v>
      </c>
      <c r="B11698" s="3" t="s">
        <v>9605</v>
      </c>
      <c r="C11698" s="3" t="s">
        <v>9747</v>
      </c>
      <c r="D11698" s="4" t="str">
        <f>HYPERLINK("https://12go.asia/en/travel/Noi-Bai-Domestic-Airport-T1/Ha-Giang-Hostel", "12Go Link")</f>
        <v>12Go Link</v>
      </c>
      <c r="E11698" s="3" t="s">
        <v>9646</v>
      </c>
      <c r="K11698" s="5"/>
    </row>
    <row r="11699">
      <c r="A11699" s="3" t="s">
        <v>9466</v>
      </c>
      <c r="B11699" s="3" t="s">
        <v>9605</v>
      </c>
      <c r="C11699" s="3" t="s">
        <v>9748</v>
      </c>
      <c r="D11699" s="4" t="str">
        <f>HYPERLINK("https://12go.asia/en/travel/go-long-bien/ha-giang-bus-station", "12Go Link")</f>
        <v>12Go Link</v>
      </c>
      <c r="E11699" s="3" t="s">
        <v>8</v>
      </c>
      <c r="K11699" s="5"/>
    </row>
    <row r="11700">
      <c r="A11700" s="3" t="s">
        <v>9466</v>
      </c>
      <c r="B11700" s="3" t="s">
        <v>9610</v>
      </c>
      <c r="C11700" s="3" t="s">
        <v>9749</v>
      </c>
      <c r="D11700" s="4" t="str">
        <f>HYPERLINK("https://12go.asia/en/travel/04-Hang-Chinh-Maison-Mackeno/Cat-Ba-SSB", "12Go Link")</f>
        <v>12Go Link</v>
      </c>
      <c r="E11700" s="3" t="s">
        <v>9450</v>
      </c>
      <c r="K11700" s="5"/>
    </row>
    <row r="11701">
      <c r="A11701" s="3" t="s">
        <v>9466</v>
      </c>
      <c r="B11701" s="3" t="s">
        <v>9610</v>
      </c>
      <c r="C11701" s="3" t="s">
        <v>9750</v>
      </c>
      <c r="D11701" s="4" t="str">
        <f>HYPERLINK("https://12go.asia/en/travel/939-Giai-phong-Street/HAIPHONG-LUXURY", "12Go Link")</f>
        <v>12Go Link</v>
      </c>
      <c r="E11701" s="3" t="s">
        <v>9680</v>
      </c>
      <c r="K11701" s="5"/>
    </row>
    <row r="11702">
      <c r="A11702" s="3" t="s">
        <v>9466</v>
      </c>
      <c r="B11702" s="3" t="s">
        <v>9610</v>
      </c>
      <c r="C11702" s="3" t="s">
        <v>9751</v>
      </c>
      <c r="D11702" s="4" t="str">
        <f t="shared" ref="D11702:D11706" si="1730">HYPERLINK("https://12go.asia/en/travel/Hanoi/Hai-Phong-Port", "12Go Link")</f>
        <v>12Go Link</v>
      </c>
      <c r="E11702" s="3" t="s">
        <v>222</v>
      </c>
      <c r="K11702" s="5"/>
    </row>
    <row r="11703">
      <c r="A11703" s="3" t="s">
        <v>9466</v>
      </c>
      <c r="B11703" s="3" t="s">
        <v>9610</v>
      </c>
      <c r="C11703" s="3" t="s">
        <v>9751</v>
      </c>
      <c r="D11703" s="4" t="str">
        <f t="shared" si="1730"/>
        <v>12Go Link</v>
      </c>
      <c r="E11703" s="3" t="s">
        <v>6599</v>
      </c>
      <c r="K11703" s="5"/>
    </row>
    <row r="11704">
      <c r="A11704" s="3" t="s">
        <v>9466</v>
      </c>
      <c r="B11704" s="3" t="s">
        <v>9610</v>
      </c>
      <c r="C11704" s="3" t="s">
        <v>9751</v>
      </c>
      <c r="D11704" s="4" t="str">
        <f t="shared" si="1730"/>
        <v>12Go Link</v>
      </c>
      <c r="E11704" s="3" t="s">
        <v>9395</v>
      </c>
      <c r="K11704" s="5"/>
    </row>
    <row r="11705">
      <c r="A11705" s="3" t="s">
        <v>9466</v>
      </c>
      <c r="B11705" s="3" t="s">
        <v>9610</v>
      </c>
      <c r="C11705" s="3" t="s">
        <v>9751</v>
      </c>
      <c r="D11705" s="4" t="str">
        <f t="shared" si="1730"/>
        <v>12Go Link</v>
      </c>
      <c r="E11705" s="3" t="s">
        <v>9396</v>
      </c>
      <c r="K11705" s="5"/>
    </row>
    <row r="11706">
      <c r="A11706" s="3" t="s">
        <v>9466</v>
      </c>
      <c r="B11706" s="3" t="s">
        <v>9610</v>
      </c>
      <c r="C11706" s="3" t="s">
        <v>9751</v>
      </c>
      <c r="D11706" s="4" t="str">
        <f t="shared" si="1730"/>
        <v>12Go Link</v>
      </c>
      <c r="E11706" s="3" t="s">
        <v>7470</v>
      </c>
      <c r="K11706" s="5"/>
    </row>
    <row r="11707">
      <c r="A11707" s="3" t="s">
        <v>9466</v>
      </c>
      <c r="B11707" s="3" t="s">
        <v>9610</v>
      </c>
      <c r="C11707" s="3" t="s">
        <v>9752</v>
      </c>
      <c r="D11707" s="4" t="str">
        <f>HYPERLINK("https://12go.asia/en/travel/Hanoi-SSB/211-Nui-Ngoc", "12Go Link")</f>
        <v>12Go Link</v>
      </c>
      <c r="E11707" s="3" t="s">
        <v>9450</v>
      </c>
      <c r="K11707" s="5"/>
    </row>
    <row r="11708">
      <c r="A11708" s="3" t="s">
        <v>9466</v>
      </c>
      <c r="B11708" s="3" t="s">
        <v>9610</v>
      </c>
      <c r="C11708" s="3" t="s">
        <v>9753</v>
      </c>
      <c r="D11708" s="4" t="str">
        <f>HYPERLINK("https://12go.asia/en/travel/Hanoi-SSB/Cat-Ba-SSB", "12Go Link")</f>
        <v>12Go Link</v>
      </c>
      <c r="E11708" s="3" t="s">
        <v>9533</v>
      </c>
      <c r="K11708" s="5"/>
    </row>
    <row r="11709">
      <c r="A11709" s="3" t="s">
        <v>9466</v>
      </c>
      <c r="B11709" s="3" t="s">
        <v>9610</v>
      </c>
      <c r="C11709" s="3" t="s">
        <v>9754</v>
      </c>
      <c r="D11709" s="4" t="str">
        <f>HYPERLINK("https://12go.asia/en/travel/Hanoi-SSB/CATBAGO-Booking-Office", "12Go Link")</f>
        <v>12Go Link</v>
      </c>
      <c r="E11709" s="3" t="s">
        <v>9450</v>
      </c>
      <c r="K11709" s="5"/>
    </row>
    <row r="11710">
      <c r="A11710" s="3" t="s">
        <v>9466</v>
      </c>
      <c r="B11710" s="3" t="s">
        <v>9610</v>
      </c>
      <c r="C11710" s="3" t="s">
        <v>9755</v>
      </c>
      <c r="D11710" s="4" t="str">
        <f>HYPERLINK("https://12go.asia/en/travel/Hanoi-SSB/HAIPHONG-LUXURY", "12Go Link")</f>
        <v>12Go Link</v>
      </c>
      <c r="E11710" s="3" t="s">
        <v>9680</v>
      </c>
      <c r="K11710" s="5"/>
    </row>
    <row r="11711">
      <c r="A11711" s="3" t="s">
        <v>9466</v>
      </c>
      <c r="B11711" s="3" t="s">
        <v>9610</v>
      </c>
      <c r="C11711" s="3" t="s">
        <v>9756</v>
      </c>
      <c r="D11711" s="4" t="str">
        <f t="shared" ref="D11711:D11715" si="1731">HYPERLINK("https://12go.asia/en/travel/Noi-Bai-Airport/Hai-Phong-Port", "12Go Link")</f>
        <v>12Go Link</v>
      </c>
      <c r="E11711" s="3" t="s">
        <v>222</v>
      </c>
      <c r="K11711" s="5"/>
    </row>
    <row r="11712">
      <c r="A11712" s="3" t="s">
        <v>9466</v>
      </c>
      <c r="B11712" s="3" t="s">
        <v>9610</v>
      </c>
      <c r="C11712" s="3" t="s">
        <v>9756</v>
      </c>
      <c r="D11712" s="4" t="str">
        <f t="shared" si="1731"/>
        <v>12Go Link</v>
      </c>
      <c r="E11712" s="3" t="s">
        <v>6599</v>
      </c>
      <c r="K11712" s="5"/>
    </row>
    <row r="11713">
      <c r="A11713" s="3" t="s">
        <v>9466</v>
      </c>
      <c r="B11713" s="3" t="s">
        <v>9610</v>
      </c>
      <c r="C11713" s="3" t="s">
        <v>9756</v>
      </c>
      <c r="D11713" s="4" t="str">
        <f t="shared" si="1731"/>
        <v>12Go Link</v>
      </c>
      <c r="E11713" s="3" t="s">
        <v>9395</v>
      </c>
      <c r="K11713" s="5"/>
    </row>
    <row r="11714">
      <c r="A11714" s="3" t="s">
        <v>9466</v>
      </c>
      <c r="B11714" s="3" t="s">
        <v>9610</v>
      </c>
      <c r="C11714" s="3" t="s">
        <v>9756</v>
      </c>
      <c r="D11714" s="4" t="str">
        <f t="shared" si="1731"/>
        <v>12Go Link</v>
      </c>
      <c r="E11714" s="3" t="s">
        <v>9396</v>
      </c>
      <c r="K11714" s="5"/>
    </row>
    <row r="11715">
      <c r="A11715" s="3" t="s">
        <v>9466</v>
      </c>
      <c r="B11715" s="3" t="s">
        <v>9610</v>
      </c>
      <c r="C11715" s="3" t="s">
        <v>9756</v>
      </c>
      <c r="D11715" s="4" t="str">
        <f t="shared" si="1731"/>
        <v>12Go Link</v>
      </c>
      <c r="E11715" s="3" t="s">
        <v>7470</v>
      </c>
      <c r="K11715" s="5"/>
    </row>
    <row r="11716">
      <c r="A11716" s="3" t="s">
        <v>9466</v>
      </c>
      <c r="B11716" s="3" t="s">
        <v>9625</v>
      </c>
      <c r="C11716" s="3" t="s">
        <v>9757</v>
      </c>
      <c r="D11716" s="4" t="str">
        <f t="shared" ref="D11716:D11722" si="1732">HYPERLINK("https://12go.asia/en/travel/Hanoi-SSB/Boarding-point-Ruby-Cruise", "12Go Link")</f>
        <v>12Go Link</v>
      </c>
      <c r="E11716" s="3" t="s">
        <v>9706</v>
      </c>
      <c r="K11716" s="5"/>
    </row>
    <row r="11717">
      <c r="A11717" s="3" t="s">
        <v>9466</v>
      </c>
      <c r="B11717" s="3" t="s">
        <v>9625</v>
      </c>
      <c r="C11717" s="3" t="s">
        <v>9757</v>
      </c>
      <c r="D11717" s="4" t="str">
        <f t="shared" si="1732"/>
        <v>12Go Link</v>
      </c>
      <c r="E11717" s="3" t="s">
        <v>9616</v>
      </c>
      <c r="K11717" s="5"/>
    </row>
    <row r="11718">
      <c r="A11718" s="3" t="s">
        <v>9466</v>
      </c>
      <c r="B11718" s="3" t="s">
        <v>9625</v>
      </c>
      <c r="C11718" s="3" t="s">
        <v>9757</v>
      </c>
      <c r="D11718" s="4" t="str">
        <f t="shared" si="1732"/>
        <v>12Go Link</v>
      </c>
      <c r="E11718" s="3" t="s">
        <v>9617</v>
      </c>
      <c r="K11718" s="5"/>
    </row>
    <row r="11719">
      <c r="A11719" s="3" t="s">
        <v>9466</v>
      </c>
      <c r="B11719" s="3" t="s">
        <v>9625</v>
      </c>
      <c r="C11719" s="3" t="s">
        <v>9757</v>
      </c>
      <c r="D11719" s="4" t="str">
        <f t="shared" si="1732"/>
        <v>12Go Link</v>
      </c>
      <c r="E11719" s="3" t="s">
        <v>9618</v>
      </c>
      <c r="K11719" s="5"/>
    </row>
    <row r="11720">
      <c r="A11720" s="3" t="s">
        <v>9466</v>
      </c>
      <c r="B11720" s="3" t="s">
        <v>9625</v>
      </c>
      <c r="C11720" s="3" t="s">
        <v>9757</v>
      </c>
      <c r="D11720" s="4" t="str">
        <f t="shared" si="1732"/>
        <v>12Go Link</v>
      </c>
      <c r="E11720" s="3" t="s">
        <v>9450</v>
      </c>
      <c r="K11720" s="5"/>
    </row>
    <row r="11721">
      <c r="A11721" s="3" t="s">
        <v>9466</v>
      </c>
      <c r="B11721" s="3" t="s">
        <v>9625</v>
      </c>
      <c r="C11721" s="3" t="s">
        <v>9757</v>
      </c>
      <c r="D11721" s="4" t="str">
        <f t="shared" si="1732"/>
        <v>12Go Link</v>
      </c>
      <c r="E11721" s="3" t="s">
        <v>9533</v>
      </c>
      <c r="K11721" s="5"/>
    </row>
    <row r="11722">
      <c r="A11722" s="3" t="s">
        <v>9466</v>
      </c>
      <c r="B11722" s="3" t="s">
        <v>9625</v>
      </c>
      <c r="C11722" s="3" t="s">
        <v>9757</v>
      </c>
      <c r="D11722" s="4" t="str">
        <f t="shared" si="1732"/>
        <v>12Go Link</v>
      </c>
      <c r="E11722" s="3" t="s">
        <v>9619</v>
      </c>
      <c r="K11722" s="5"/>
    </row>
    <row r="11723">
      <c r="A11723" s="3" t="s">
        <v>9466</v>
      </c>
      <c r="B11723" s="3" t="s">
        <v>9625</v>
      </c>
      <c r="C11723" s="3" t="s">
        <v>9758</v>
      </c>
      <c r="D11723" s="4" t="str">
        <f>HYPERLINK("https://12go.asia/en/travel/Hanoi-SSB/Tuan-Chau-Luxxury-SSB", "12Go Link")</f>
        <v>12Go Link</v>
      </c>
      <c r="E11723" s="3" t="s">
        <v>9607</v>
      </c>
      <c r="K11723" s="5"/>
    </row>
    <row r="11724">
      <c r="A11724" s="3" t="s">
        <v>9466</v>
      </c>
      <c r="B11724" s="3" t="s">
        <v>9466</v>
      </c>
      <c r="C11724" s="3" t="s">
        <v>9759</v>
      </c>
      <c r="D11724" s="4" t="str">
        <f>HYPERLINK("https://12go.asia/en/travel/04-Hang-Chinh-Maison-Mackeno/Hanoi-Noi-Bai-Airport", "12Go Link")</f>
        <v>12Go Link</v>
      </c>
      <c r="E11724" s="3" t="s">
        <v>9760</v>
      </c>
      <c r="K11724" s="5"/>
    </row>
    <row r="11725">
      <c r="A11725" s="3" t="s">
        <v>9466</v>
      </c>
      <c r="B11725" s="3" t="s">
        <v>9466</v>
      </c>
      <c r="C11725" s="3" t="s">
        <v>9761</v>
      </c>
      <c r="D11725" s="4" t="str">
        <f t="shared" ref="D11725:D11729" si="1733">HYPERLINK("https://12go.asia/en/travel/Hanoi/Hanoi-City-Center-Transfer", "12Go Link")</f>
        <v>12Go Link</v>
      </c>
      <c r="E11725" s="3" t="s">
        <v>222</v>
      </c>
      <c r="K11725" s="5"/>
    </row>
    <row r="11726">
      <c r="A11726" s="3" t="s">
        <v>9466</v>
      </c>
      <c r="B11726" s="3" t="s">
        <v>9466</v>
      </c>
      <c r="C11726" s="3" t="s">
        <v>9761</v>
      </c>
      <c r="D11726" s="4" t="str">
        <f t="shared" si="1733"/>
        <v>12Go Link</v>
      </c>
      <c r="E11726" s="3" t="s">
        <v>6599</v>
      </c>
      <c r="K11726" s="5"/>
    </row>
    <row r="11727">
      <c r="A11727" s="3" t="s">
        <v>9466</v>
      </c>
      <c r="B11727" s="3" t="s">
        <v>9466</v>
      </c>
      <c r="C11727" s="3" t="s">
        <v>9761</v>
      </c>
      <c r="D11727" s="4" t="str">
        <f t="shared" si="1733"/>
        <v>12Go Link</v>
      </c>
      <c r="E11727" s="3" t="s">
        <v>9395</v>
      </c>
      <c r="K11727" s="5"/>
    </row>
    <row r="11728">
      <c r="A11728" s="3" t="s">
        <v>9466</v>
      </c>
      <c r="B11728" s="3" t="s">
        <v>9466</v>
      </c>
      <c r="C11728" s="3" t="s">
        <v>9761</v>
      </c>
      <c r="D11728" s="4" t="str">
        <f t="shared" si="1733"/>
        <v>12Go Link</v>
      </c>
      <c r="E11728" s="3" t="s">
        <v>9396</v>
      </c>
      <c r="K11728" s="5"/>
    </row>
    <row r="11729">
      <c r="A11729" s="3" t="s">
        <v>9466</v>
      </c>
      <c r="B11729" s="3" t="s">
        <v>9466</v>
      </c>
      <c r="C11729" s="3" t="s">
        <v>9761</v>
      </c>
      <c r="D11729" s="4" t="str">
        <f t="shared" si="1733"/>
        <v>12Go Link</v>
      </c>
      <c r="E11729" s="3" t="s">
        <v>7470</v>
      </c>
      <c r="K11729" s="5"/>
    </row>
    <row r="11730">
      <c r="A11730" s="3" t="s">
        <v>9466</v>
      </c>
      <c r="B11730" s="3" t="s">
        <v>9466</v>
      </c>
      <c r="C11730" s="3" t="s">
        <v>9762</v>
      </c>
      <c r="D11730" s="4" t="str">
        <f t="shared" ref="D11730:D11734" si="1734">HYPERLINK("https://12go.asia/en/travel/Noi-Bai-Airport/Hanoi-City-Center-Transfer", "12Go Link")</f>
        <v>12Go Link</v>
      </c>
      <c r="E11730" s="3" t="s">
        <v>222</v>
      </c>
      <c r="K11730" s="5"/>
    </row>
    <row r="11731">
      <c r="A11731" s="3" t="s">
        <v>9466</v>
      </c>
      <c r="B11731" s="3" t="s">
        <v>9466</v>
      </c>
      <c r="C11731" s="3" t="s">
        <v>9762</v>
      </c>
      <c r="D11731" s="4" t="str">
        <f t="shared" si="1734"/>
        <v>12Go Link</v>
      </c>
      <c r="E11731" s="3" t="s">
        <v>6599</v>
      </c>
      <c r="K11731" s="5"/>
    </row>
    <row r="11732">
      <c r="A11732" s="3" t="s">
        <v>9466</v>
      </c>
      <c r="B11732" s="3" t="s">
        <v>9466</v>
      </c>
      <c r="C11732" s="3" t="s">
        <v>9762</v>
      </c>
      <c r="D11732" s="4" t="str">
        <f t="shared" si="1734"/>
        <v>12Go Link</v>
      </c>
      <c r="E11732" s="3" t="s">
        <v>9395</v>
      </c>
      <c r="K11732" s="5"/>
    </row>
    <row r="11733">
      <c r="A11733" s="3" t="s">
        <v>9466</v>
      </c>
      <c r="B11733" s="3" t="s">
        <v>9466</v>
      </c>
      <c r="C11733" s="3" t="s">
        <v>9762</v>
      </c>
      <c r="D11733" s="4" t="str">
        <f t="shared" si="1734"/>
        <v>12Go Link</v>
      </c>
      <c r="E11733" s="3" t="s">
        <v>9396</v>
      </c>
      <c r="K11733" s="5"/>
    </row>
    <row r="11734">
      <c r="A11734" s="3" t="s">
        <v>9466</v>
      </c>
      <c r="B11734" s="3" t="s">
        <v>9466</v>
      </c>
      <c r="C11734" s="3" t="s">
        <v>9762</v>
      </c>
      <c r="D11734" s="4" t="str">
        <f t="shared" si="1734"/>
        <v>12Go Link</v>
      </c>
      <c r="E11734" s="3" t="s">
        <v>7470</v>
      </c>
      <c r="K11734" s="5"/>
    </row>
    <row r="11735">
      <c r="A11735" s="3" t="s">
        <v>9466</v>
      </c>
      <c r="B11735" s="3" t="s">
        <v>9487</v>
      </c>
      <c r="C11735" s="3" t="s">
        <v>9763</v>
      </c>
      <c r="D11735" s="4" t="str">
        <f>HYPERLINK("https://12go.asia/en/travel/12-Pham-Van-Dong/105-Ton-Duc-Thang", "12Go Link")</f>
        <v>12Go Link</v>
      </c>
      <c r="E11735" s="3" t="s">
        <v>9633</v>
      </c>
      <c r="K11735" s="5"/>
    </row>
    <row r="11736">
      <c r="A11736" s="3" t="s">
        <v>9466</v>
      </c>
      <c r="B11736" s="3" t="s">
        <v>9487</v>
      </c>
      <c r="C11736" s="3" t="s">
        <v>9764</v>
      </c>
      <c r="D11736" s="4" t="str">
        <f>HYPERLINK("https://12go.asia/en/travel/12-Pham-Van-Dong/137-Tran-Nhan-Tong", "12Go Link")</f>
        <v>12Go Link</v>
      </c>
      <c r="E11736" s="3" t="s">
        <v>9633</v>
      </c>
      <c r="K11736" s="5"/>
    </row>
    <row r="11737">
      <c r="A11737" s="3" t="s">
        <v>9466</v>
      </c>
      <c r="B11737" s="3" t="s">
        <v>9487</v>
      </c>
      <c r="C11737" s="3" t="s">
        <v>9765</v>
      </c>
      <c r="D11737" s="4" t="str">
        <f>HYPERLINK("https://12go.asia/en/travel/12-Pham-Van-Dong/23-Nguyen-Tat-Thanh", "12Go Link")</f>
        <v>12Go Link</v>
      </c>
      <c r="E11737" s="3" t="s">
        <v>9633</v>
      </c>
      <c r="K11737" s="5"/>
    </row>
    <row r="11738">
      <c r="A11738" s="3" t="s">
        <v>9466</v>
      </c>
      <c r="B11738" s="3" t="s">
        <v>9487</v>
      </c>
      <c r="C11738" s="3" t="s">
        <v>9766</v>
      </c>
      <c r="D11738" s="4" t="str">
        <f>HYPERLINK("https://12go.asia/en/travel/12-Pham-Van-Dong/Highlands-Coffee", "12Go Link")</f>
        <v>12Go Link</v>
      </c>
      <c r="E11738" s="3" t="s">
        <v>9633</v>
      </c>
      <c r="K11738" s="5"/>
    </row>
    <row r="11739">
      <c r="A11739" s="3" t="s">
        <v>9466</v>
      </c>
      <c r="B11739" s="3" t="s">
        <v>9487</v>
      </c>
      <c r="C11739" s="3" t="s">
        <v>9767</v>
      </c>
      <c r="D11739" s="4" t="str">
        <f>HYPERLINK("https://12go.asia/en/travel/12-Pham-Van-Dong/Hoi-An-An-Bang-Beach", "12Go Link")</f>
        <v>12Go Link</v>
      </c>
      <c r="E11739" s="3" t="s">
        <v>9633</v>
      </c>
      <c r="K11739" s="5"/>
    </row>
    <row r="11740">
      <c r="A11740" s="3" t="s">
        <v>9466</v>
      </c>
      <c r="B11740" s="3" t="s">
        <v>9487</v>
      </c>
      <c r="C11740" s="3" t="s">
        <v>9768</v>
      </c>
      <c r="D11740" s="4" t="str">
        <f>HYPERLINK("https://12go.asia/en/travel/12-Pham-Van-Dong/Song-Hoai-Square", "12Go Link")</f>
        <v>12Go Link</v>
      </c>
      <c r="E11740" s="3" t="s">
        <v>9633</v>
      </c>
      <c r="K11740" s="5"/>
    </row>
    <row r="11741">
      <c r="A11741" s="3" t="s">
        <v>9466</v>
      </c>
      <c r="B11741" s="3" t="s">
        <v>9487</v>
      </c>
      <c r="C11741" s="3" t="s">
        <v>9769</v>
      </c>
      <c r="D11741" s="4" t="str">
        <f>HYPERLINK("https://12go.asia/en/travel/204-Tran-Quang-Khai/105-Ton-Duc-Thang", "12Go Link")</f>
        <v>12Go Link</v>
      </c>
      <c r="E11741" s="3" t="s">
        <v>9374</v>
      </c>
      <c r="K11741" s="5"/>
    </row>
    <row r="11742">
      <c r="A11742" s="3" t="s">
        <v>9466</v>
      </c>
      <c r="B11742" s="3" t="s">
        <v>9487</v>
      </c>
      <c r="C11742" s="3" t="s">
        <v>9770</v>
      </c>
      <c r="D11742" s="4" t="str">
        <f>HYPERLINK("https://12go.asia/en/travel/459-Tran-Khat-Chan/137-Tran-Nhan-Tong", "12Go Link")</f>
        <v>12Go Link</v>
      </c>
      <c r="E11742" s="3" t="s">
        <v>9474</v>
      </c>
      <c r="K11742" s="5"/>
    </row>
    <row r="11743">
      <c r="A11743" s="3" t="s">
        <v>9466</v>
      </c>
      <c r="B11743" s="3" t="s">
        <v>9487</v>
      </c>
      <c r="C11743" s="3" t="s">
        <v>9771</v>
      </c>
      <c r="D11743" s="4" t="str">
        <f>HYPERLINK("https://12go.asia/en/travel/Duc-Duong-Office-Ha-noi/105-Ton-Duc-Thang", "12Go Link")</f>
        <v>12Go Link</v>
      </c>
      <c r="E11743" s="3" t="s">
        <v>9374</v>
      </c>
      <c r="K11743" s="5"/>
    </row>
    <row r="11744">
      <c r="A11744" s="3" t="s">
        <v>9466</v>
      </c>
      <c r="B11744" s="3" t="s">
        <v>9487</v>
      </c>
      <c r="C11744" s="3" t="s">
        <v>9772</v>
      </c>
      <c r="D11744" s="4" t="str">
        <f>HYPERLINK("https://12go.asia/en/travel/Duc-Duong-Office-Ha-noi/23-Nguyen-Tat-Thanh", "12Go Link")</f>
        <v>12Go Link</v>
      </c>
      <c r="E11744" s="3" t="s">
        <v>9374</v>
      </c>
      <c r="K11744" s="5"/>
    </row>
    <row r="11745">
      <c r="A11745" s="3" t="s">
        <v>9466</v>
      </c>
      <c r="B11745" s="3" t="s">
        <v>9487</v>
      </c>
      <c r="C11745" s="3" t="s">
        <v>9773</v>
      </c>
      <c r="D11745" s="4" t="str">
        <f>HYPERLINK("https://12go.asia/en/travel/Parking-lot-Cuaong-Limousine/23-Nguyen-Tat-Thanh", "12Go Link")</f>
        <v>12Go Link</v>
      </c>
      <c r="E11745" s="3" t="s">
        <v>9733</v>
      </c>
      <c r="K11745" s="5"/>
    </row>
    <row r="11746">
      <c r="A11746" s="3" t="s">
        <v>9466</v>
      </c>
      <c r="B11746" s="3" t="s">
        <v>9487</v>
      </c>
      <c r="C11746" s="3" t="s">
        <v>9774</v>
      </c>
      <c r="D11746" s="4" t="str">
        <f>HYPERLINK("https://12go.asia/en/travel/SDT-Hanoi-Office/Vinh-Duc-Hospital", "12Go Link")</f>
        <v>12Go Link</v>
      </c>
      <c r="E11746" s="3" t="s">
        <v>9449</v>
      </c>
      <c r="K11746" s="5"/>
    </row>
    <row r="11747">
      <c r="A11747" s="3" t="s">
        <v>9466</v>
      </c>
      <c r="B11747" s="3" t="s">
        <v>9487</v>
      </c>
      <c r="C11747" s="3" t="s">
        <v>9775</v>
      </c>
      <c r="D11747" s="4" t="str">
        <f>HYPERLINK("https://12go.asia/en/travel/T-Travel/105-Ton-Duc-Thang", "12Go Link")</f>
        <v>12Go Link</v>
      </c>
      <c r="E11747" s="3" t="s">
        <v>9374</v>
      </c>
      <c r="K11747" s="5"/>
    </row>
    <row r="11748">
      <c r="A11748" s="3" t="s">
        <v>9466</v>
      </c>
      <c r="B11748" s="3" t="s">
        <v>9487</v>
      </c>
      <c r="C11748" s="3" t="s">
        <v>9776</v>
      </c>
      <c r="D11748" s="4" t="str">
        <f>HYPERLINK("https://12go.asia/en/travel/T-Travel/23-Nguyen-Tat-Thanh", "12Go Link")</f>
        <v>12Go Link</v>
      </c>
      <c r="E11748" s="3" t="s">
        <v>9374</v>
      </c>
      <c r="K11748" s="5"/>
    </row>
    <row r="11749">
      <c r="A11749" s="3" t="s">
        <v>9466</v>
      </c>
      <c r="B11749" s="3" t="s">
        <v>9502</v>
      </c>
      <c r="C11749" s="3" t="s">
        <v>9777</v>
      </c>
      <c r="D11749" s="4" t="str">
        <f>HYPERLINK("https://12go.asia/en/travel/12-Pham-Van-Dong/174-Ba-Trieu", "12Go Link")</f>
        <v>12Go Link</v>
      </c>
      <c r="E11749" s="3" t="s">
        <v>9633</v>
      </c>
      <c r="K11749" s="5"/>
    </row>
    <row r="11750">
      <c r="A11750" s="3" t="s">
        <v>9466</v>
      </c>
      <c r="B11750" s="3" t="s">
        <v>9502</v>
      </c>
      <c r="C11750" s="3" t="s">
        <v>9778</v>
      </c>
      <c r="D11750" s="4" t="str">
        <f>HYPERLINK("https://12go.asia/en/travel/12-Pham-Van-Dong/2-Lam-Hoang-Vy-Da", "12Go Link")</f>
        <v>12Go Link</v>
      </c>
      <c r="E11750" s="3" t="s">
        <v>9633</v>
      </c>
      <c r="K11750" s="5"/>
    </row>
    <row r="11751">
      <c r="A11751" s="3" t="s">
        <v>9466</v>
      </c>
      <c r="B11751" s="3" t="s">
        <v>9502</v>
      </c>
      <c r="C11751" s="3" t="s">
        <v>9779</v>
      </c>
      <c r="D11751" s="4" t="str">
        <f>HYPERLINK("https://12go.asia/en/travel/12-Pham-Van-Dong/44-Chu-van-An-Street", "12Go Link")</f>
        <v>12Go Link</v>
      </c>
      <c r="E11751" s="3" t="s">
        <v>9633</v>
      </c>
      <c r="K11751" s="5"/>
    </row>
    <row r="11752">
      <c r="A11752" s="3" t="s">
        <v>9466</v>
      </c>
      <c r="B11752" s="3" t="s">
        <v>9502</v>
      </c>
      <c r="C11752" s="3" t="s">
        <v>9780</v>
      </c>
      <c r="D11752" s="4" t="str">
        <f>HYPERLINK("https://12go.asia/en/travel/12-Pham-Van-Dong/7-Doi-Cung-Hue", "12Go Link")</f>
        <v>12Go Link</v>
      </c>
      <c r="E11752" s="3" t="s">
        <v>9633</v>
      </c>
      <c r="K11752" s="5"/>
    </row>
    <row r="11753">
      <c r="A11753" s="3" t="s">
        <v>9466</v>
      </c>
      <c r="B11753" s="3" t="s">
        <v>9502</v>
      </c>
      <c r="C11753" s="3" t="s">
        <v>9781</v>
      </c>
      <c r="D11753" s="4" t="str">
        <f>HYPERLINK("https://12go.asia/en/travel/12-Pham-Van-Dong/86-Nguyen-Sinh-Cung", "12Go Link")</f>
        <v>12Go Link</v>
      </c>
      <c r="E11753" s="3" t="s">
        <v>9633</v>
      </c>
      <c r="K11753" s="5"/>
    </row>
    <row r="11754">
      <c r="A11754" s="3" t="s">
        <v>9466</v>
      </c>
      <c r="B11754" s="3" t="s">
        <v>9502</v>
      </c>
      <c r="C11754" s="3" t="s">
        <v>9782</v>
      </c>
      <c r="D11754" s="4" t="str">
        <f>HYPERLINK("https://12go.asia/en/travel/12-Pham-Van-Dong/Hue-Northern-Bus-Station", "12Go Link")</f>
        <v>12Go Link</v>
      </c>
      <c r="E11754" s="3" t="s">
        <v>9633</v>
      </c>
      <c r="K11754" s="5"/>
    </row>
    <row r="11755">
      <c r="A11755" s="3" t="s">
        <v>9466</v>
      </c>
      <c r="B11755" s="3" t="s">
        <v>9502</v>
      </c>
      <c r="C11755" s="3" t="s">
        <v>9783</v>
      </c>
      <c r="D11755" s="4" t="str">
        <f>HYPERLINK("https://12go.asia/en/travel/12-Pham-Van-Dong/Hue-Railway-Station", "12Go Link")</f>
        <v>12Go Link</v>
      </c>
      <c r="E11755" s="3" t="s">
        <v>9633</v>
      </c>
      <c r="K11755" s="5"/>
    </row>
    <row r="11756">
      <c r="A11756" s="3" t="s">
        <v>9466</v>
      </c>
      <c r="B11756" s="3" t="s">
        <v>9502</v>
      </c>
      <c r="C11756" s="3" t="s">
        <v>9784</v>
      </c>
      <c r="D11756" s="4" t="str">
        <f>HYPERLINK("https://12go.asia/en/travel/12-Pham-Van-Dong/Nguyen-Hoang-Bus-Station", "12Go Link")</f>
        <v>12Go Link</v>
      </c>
      <c r="E11756" s="3" t="s">
        <v>9633</v>
      </c>
      <c r="K11756" s="5"/>
    </row>
    <row r="11757">
      <c r="A11757" s="3" t="s">
        <v>9466</v>
      </c>
      <c r="B11757" s="3" t="s">
        <v>9502</v>
      </c>
      <c r="C11757" s="3" t="s">
        <v>9785</v>
      </c>
      <c r="D11757" s="4" t="str">
        <f>HYPERLINK("https://12go.asia/en/travel/12-Pham-Van-Dong/Toa-Kham-Marina", "12Go Link")</f>
        <v>12Go Link</v>
      </c>
      <c r="E11757" s="3" t="s">
        <v>9633</v>
      </c>
      <c r="K11757" s="5"/>
    </row>
    <row r="11758">
      <c r="A11758" s="3" t="s">
        <v>9466</v>
      </c>
      <c r="B11758" s="3" t="s">
        <v>9502</v>
      </c>
      <c r="C11758" s="3" t="s">
        <v>9786</v>
      </c>
      <c r="D11758" s="4" t="str">
        <f>HYPERLINK("https://12go.asia/en/travel/204-Tran-Quang-Khai/7-Doi-Cung-Hue", "12Go Link")</f>
        <v>12Go Link</v>
      </c>
      <c r="E11758" s="3" t="s">
        <v>9374</v>
      </c>
      <c r="K11758" s="5"/>
    </row>
    <row r="11759">
      <c r="A11759" s="3" t="s">
        <v>9466</v>
      </c>
      <c r="B11759" s="3" t="s">
        <v>9502</v>
      </c>
      <c r="C11759" s="3" t="s">
        <v>9787</v>
      </c>
      <c r="D11759" s="4" t="str">
        <f>HYPERLINK("https://12go.asia/en/travel/459-Tran-Khat-Chan/86-Nguyen-Sinh-Cung", "12Go Link")</f>
        <v>12Go Link</v>
      </c>
      <c r="E11759" s="3" t="s">
        <v>9474</v>
      </c>
      <c r="K11759" s="5"/>
    </row>
    <row r="11760">
      <c r="A11760" s="3" t="s">
        <v>9466</v>
      </c>
      <c r="B11760" s="3" t="s">
        <v>9502</v>
      </c>
      <c r="C11760" s="3" t="s">
        <v>9788</v>
      </c>
      <c r="D11760" s="4" t="str">
        <f>HYPERLINK("https://12go.asia/en/travel/Duc-Duong-Office-Ha-noi/38-Le-Loi", "12Go Link")</f>
        <v>12Go Link</v>
      </c>
      <c r="E11760" s="3" t="s">
        <v>9374</v>
      </c>
      <c r="K11760" s="5"/>
    </row>
    <row r="11761">
      <c r="A11761" s="3" t="s">
        <v>9466</v>
      </c>
      <c r="B11761" s="3" t="s">
        <v>9502</v>
      </c>
      <c r="C11761" s="3" t="s">
        <v>9789</v>
      </c>
      <c r="D11761" s="4" t="str">
        <f>HYPERLINK("https://12go.asia/en/travel/Duc-Duong-Office-Ha-noi/44-Chu-van-An-Street", "12Go Link")</f>
        <v>12Go Link</v>
      </c>
      <c r="E11761" s="3" t="s">
        <v>9374</v>
      </c>
      <c r="K11761" s="5"/>
    </row>
    <row r="11762">
      <c r="A11762" s="3" t="s">
        <v>9466</v>
      </c>
      <c r="B11762" s="3" t="s">
        <v>9502</v>
      </c>
      <c r="C11762" s="3" t="s">
        <v>9790</v>
      </c>
      <c r="D11762" s="4" t="str">
        <f>HYPERLINK("https://12go.asia/en/travel/Duc-Duong-Office-Ha-noi/7-Doi-Cung-Hue", "12Go Link")</f>
        <v>12Go Link</v>
      </c>
      <c r="E11762" s="3" t="s">
        <v>9374</v>
      </c>
      <c r="K11762" s="5"/>
    </row>
    <row r="11763">
      <c r="A11763" s="3" t="s">
        <v>9466</v>
      </c>
      <c r="B11763" s="3" t="s">
        <v>9502</v>
      </c>
      <c r="C11763" s="3" t="s">
        <v>9791</v>
      </c>
      <c r="D11763" s="4" t="str">
        <f>HYPERLINK("https://12go.asia/en/travel/Duc-Duong-Office-Ha-noi/Benly-Coffee", "12Go Link")</f>
        <v>12Go Link</v>
      </c>
      <c r="E11763" s="3" t="s">
        <v>9374</v>
      </c>
      <c r="K11763" s="5"/>
    </row>
    <row r="11764">
      <c r="A11764" s="3" t="s">
        <v>9466</v>
      </c>
      <c r="B11764" s="3" t="s">
        <v>9502</v>
      </c>
      <c r="C11764" s="3" t="s">
        <v>9792</v>
      </c>
      <c r="D11764" s="4" t="str">
        <f>HYPERLINK("https://12go.asia/en/travel/Duc-Duong-Office-Ha-noi/Hue-Northern-Bus-Station", "12Go Link")</f>
        <v>12Go Link</v>
      </c>
      <c r="E11764" s="3" t="s">
        <v>9374</v>
      </c>
      <c r="K11764" s="5"/>
    </row>
    <row r="11765">
      <c r="A11765" s="3" t="s">
        <v>9466</v>
      </c>
      <c r="B11765" s="3" t="s">
        <v>9502</v>
      </c>
      <c r="C11765" s="3" t="s">
        <v>9793</v>
      </c>
      <c r="D11765" s="4" t="str">
        <f>HYPERLINK("https://12go.asia/en/travel/Parking-lot-Cuaong-Limousine/Benly-Cafe", "12Go Link")</f>
        <v>12Go Link</v>
      </c>
      <c r="E11765" s="3" t="s">
        <v>9733</v>
      </c>
      <c r="K11765" s="5"/>
    </row>
    <row r="11766">
      <c r="A11766" s="3" t="s">
        <v>9466</v>
      </c>
      <c r="B11766" s="3" t="s">
        <v>9502</v>
      </c>
      <c r="C11766" s="3" t="s">
        <v>9794</v>
      </c>
      <c r="D11766" s="4" t="str">
        <f>HYPERLINK("https://12go.asia/en/travel/Parking-lot-Cuaong-Limousine/Benly-Cafe-3-Doi-Cung", "12Go Link")</f>
        <v>12Go Link</v>
      </c>
      <c r="E11766" s="3" t="s">
        <v>9733</v>
      </c>
      <c r="K11766" s="5"/>
    </row>
    <row r="11767">
      <c r="A11767" s="3" t="s">
        <v>9466</v>
      </c>
      <c r="B11767" s="3" t="s">
        <v>9502</v>
      </c>
      <c r="C11767" s="3" t="s">
        <v>9795</v>
      </c>
      <c r="D11767" s="4" t="str">
        <f>HYPERLINK("https://12go.asia/en/travel/SDT-Hanoi-Office/Gas-Station-24", "12Go Link")</f>
        <v>12Go Link</v>
      </c>
      <c r="E11767" s="3" t="s">
        <v>9449</v>
      </c>
      <c r="K11767" s="5"/>
    </row>
    <row r="11768">
      <c r="A11768" s="3" t="s">
        <v>9466</v>
      </c>
      <c r="B11768" s="3" t="s">
        <v>9502</v>
      </c>
      <c r="C11768" s="3" t="s">
        <v>9796</v>
      </c>
      <c r="D11768" s="4" t="str">
        <f>HYPERLINK("https://12go.asia/en/travel/T-Travel/38-Le-Loi", "12Go Link")</f>
        <v>12Go Link</v>
      </c>
      <c r="E11768" s="3" t="s">
        <v>9374</v>
      </c>
      <c r="K11768" s="5"/>
    </row>
    <row r="11769">
      <c r="A11769" s="3" t="s">
        <v>9466</v>
      </c>
      <c r="B11769" s="3" t="s">
        <v>9502</v>
      </c>
      <c r="C11769" s="3" t="s">
        <v>9797</v>
      </c>
      <c r="D11769" s="4" t="str">
        <f>HYPERLINK("https://12go.asia/en/travel/T-Travel/44-Chu-van-An-Street", "12Go Link")</f>
        <v>12Go Link</v>
      </c>
      <c r="E11769" s="3" t="s">
        <v>9374</v>
      </c>
      <c r="K11769" s="5"/>
    </row>
    <row r="11770">
      <c r="A11770" s="3" t="s">
        <v>9466</v>
      </c>
      <c r="B11770" s="3" t="s">
        <v>9502</v>
      </c>
      <c r="C11770" s="3" t="s">
        <v>9798</v>
      </c>
      <c r="D11770" s="4" t="str">
        <f>HYPERLINK("https://12go.asia/en/travel/T-Travel/7-Doi-Cung-Hue", "12Go Link")</f>
        <v>12Go Link</v>
      </c>
      <c r="E11770" s="3" t="s">
        <v>9374</v>
      </c>
      <c r="K11770" s="5"/>
    </row>
    <row r="11771">
      <c r="A11771" s="3" t="s">
        <v>9466</v>
      </c>
      <c r="B11771" s="3" t="s">
        <v>9502</v>
      </c>
      <c r="C11771" s="3" t="s">
        <v>9799</v>
      </c>
      <c r="D11771" s="4" t="str">
        <f>HYPERLINK("https://12go.asia/en/travel/T-Travel/Benly-Coffee", "12Go Link")</f>
        <v>12Go Link</v>
      </c>
      <c r="E11771" s="3" t="s">
        <v>9374</v>
      </c>
      <c r="K11771" s="5"/>
    </row>
    <row r="11772">
      <c r="A11772" s="3" t="s">
        <v>9466</v>
      </c>
      <c r="B11772" s="3" t="s">
        <v>9502</v>
      </c>
      <c r="C11772" s="3" t="s">
        <v>9800</v>
      </c>
      <c r="D11772" s="4" t="str">
        <f>HYPERLINK("https://12go.asia/en/travel/T-Travel/Hue-Northern-Bus-Station", "12Go Link")</f>
        <v>12Go Link</v>
      </c>
      <c r="E11772" s="3" t="s">
        <v>9374</v>
      </c>
      <c r="K11772" s="5"/>
    </row>
    <row r="11773">
      <c r="A11773" s="3" t="s">
        <v>9466</v>
      </c>
      <c r="B11773" s="3" t="s">
        <v>9639</v>
      </c>
      <c r="C11773" s="3" t="s">
        <v>9801</v>
      </c>
      <c r="D11773" s="4" t="str">
        <f>HYPERLINK("https://12go.asia/en/travel/Hanoi-Noi-Bai-Airport/494-Duong-Dien-Bien-Phu", "12Go Link")</f>
        <v>12Go Link</v>
      </c>
      <c r="E11773" s="3" t="s">
        <v>9802</v>
      </c>
      <c r="K11773" s="5"/>
    </row>
    <row r="11774">
      <c r="A11774" s="3" t="s">
        <v>9466</v>
      </c>
      <c r="B11774" s="3" t="s">
        <v>9639</v>
      </c>
      <c r="C11774" s="3" t="s">
        <v>9803</v>
      </c>
      <c r="D11774" s="4" t="str">
        <f t="shared" ref="D11774:D11776" si="1735">HYPERLINK("https://12go.asia/en/travel/Hanoi-Opera-House/494-Duong-Dien-Bien-Phu", "12Go Link")</f>
        <v>12Go Link</v>
      </c>
      <c r="E11774" s="3" t="s">
        <v>9513</v>
      </c>
      <c r="K11774" s="5"/>
    </row>
    <row r="11775">
      <c r="A11775" s="3" t="s">
        <v>9466</v>
      </c>
      <c r="B11775" s="3" t="s">
        <v>9639</v>
      </c>
      <c r="C11775" s="3" t="s">
        <v>9803</v>
      </c>
      <c r="D11775" s="4" t="str">
        <f t="shared" si="1735"/>
        <v>12Go Link</v>
      </c>
      <c r="E11775" s="3" t="s">
        <v>9636</v>
      </c>
      <c r="K11775" s="5"/>
    </row>
    <row r="11776">
      <c r="A11776" s="3" t="s">
        <v>9466</v>
      </c>
      <c r="B11776" s="3" t="s">
        <v>9639</v>
      </c>
      <c r="C11776" s="3" t="s">
        <v>9803</v>
      </c>
      <c r="D11776" s="4" t="str">
        <f t="shared" si="1735"/>
        <v>12Go Link</v>
      </c>
      <c r="E11776" s="3" t="s">
        <v>9802</v>
      </c>
      <c r="K11776" s="5"/>
    </row>
    <row r="11777">
      <c r="A11777" s="3" t="s">
        <v>9466</v>
      </c>
      <c r="B11777" s="3" t="s">
        <v>9639</v>
      </c>
      <c r="C11777" s="3" t="s">
        <v>9804</v>
      </c>
      <c r="D11777" s="4" t="str">
        <f>HYPERLINK("https://12go.asia/en/travel/Hanoi-Opera-House/Bus-Sapa-494-Dien-Bien-Phu", "12Go Link")</f>
        <v>12Go Link</v>
      </c>
      <c r="E11777" s="3" t="s">
        <v>9805</v>
      </c>
      <c r="K11777" s="5"/>
    </row>
    <row r="11778">
      <c r="A11778" s="3" t="s">
        <v>9466</v>
      </c>
      <c r="B11778" s="3" t="s">
        <v>9806</v>
      </c>
      <c r="C11778" s="3" t="s">
        <v>9807</v>
      </c>
      <c r="D11778" s="4" t="str">
        <f t="shared" ref="D11778:D11782" si="1736">HYPERLINK("https://12go.asia/en/travel/Hanoi/Mai-Chau-Hoa-Binh", "12Go Link")</f>
        <v>12Go Link</v>
      </c>
      <c r="E11778" s="3" t="s">
        <v>222</v>
      </c>
      <c r="K11778" s="5"/>
    </row>
    <row r="11779">
      <c r="A11779" s="3" t="s">
        <v>9466</v>
      </c>
      <c r="B11779" s="3" t="s">
        <v>9806</v>
      </c>
      <c r="C11779" s="3" t="s">
        <v>9807</v>
      </c>
      <c r="D11779" s="4" t="str">
        <f t="shared" si="1736"/>
        <v>12Go Link</v>
      </c>
      <c r="E11779" s="3" t="s">
        <v>6599</v>
      </c>
      <c r="K11779" s="5"/>
    </row>
    <row r="11780">
      <c r="A11780" s="3" t="s">
        <v>9466</v>
      </c>
      <c r="B11780" s="3" t="s">
        <v>9806</v>
      </c>
      <c r="C11780" s="3" t="s">
        <v>9807</v>
      </c>
      <c r="D11780" s="4" t="str">
        <f t="shared" si="1736"/>
        <v>12Go Link</v>
      </c>
      <c r="E11780" s="3" t="s">
        <v>9395</v>
      </c>
      <c r="K11780" s="5"/>
    </row>
    <row r="11781">
      <c r="A11781" s="3" t="s">
        <v>9466</v>
      </c>
      <c r="B11781" s="3" t="s">
        <v>9806</v>
      </c>
      <c r="C11781" s="3" t="s">
        <v>9807</v>
      </c>
      <c r="D11781" s="4" t="str">
        <f t="shared" si="1736"/>
        <v>12Go Link</v>
      </c>
      <c r="E11781" s="3" t="s">
        <v>9396</v>
      </c>
      <c r="K11781" s="5"/>
    </row>
    <row r="11782">
      <c r="A11782" s="3" t="s">
        <v>9466</v>
      </c>
      <c r="B11782" s="3" t="s">
        <v>9806</v>
      </c>
      <c r="C11782" s="3" t="s">
        <v>9807</v>
      </c>
      <c r="D11782" s="4" t="str">
        <f t="shared" si="1736"/>
        <v>12Go Link</v>
      </c>
      <c r="E11782" s="3" t="s">
        <v>7470</v>
      </c>
      <c r="K11782" s="5"/>
    </row>
    <row r="11783">
      <c r="A11783" s="3" t="s">
        <v>9466</v>
      </c>
      <c r="B11783" s="3" t="s">
        <v>9806</v>
      </c>
      <c r="C11783" s="3" t="s">
        <v>9808</v>
      </c>
      <c r="D11783" s="4" t="str">
        <f t="shared" ref="D11783:D11787" si="1737">HYPERLINK("https://12go.asia/en/travel/Noi-Bai-Airport/Mai-Chau-Hoa-Binh", "12Go Link")</f>
        <v>12Go Link</v>
      </c>
      <c r="E11783" s="3" t="s">
        <v>222</v>
      </c>
      <c r="K11783" s="5"/>
    </row>
    <row r="11784">
      <c r="A11784" s="3" t="s">
        <v>9466</v>
      </c>
      <c r="B11784" s="3" t="s">
        <v>9806</v>
      </c>
      <c r="C11784" s="3" t="s">
        <v>9808</v>
      </c>
      <c r="D11784" s="4" t="str">
        <f t="shared" si="1737"/>
        <v>12Go Link</v>
      </c>
      <c r="E11784" s="3" t="s">
        <v>6599</v>
      </c>
      <c r="K11784" s="5"/>
    </row>
    <row r="11785">
      <c r="A11785" s="3" t="s">
        <v>9466</v>
      </c>
      <c r="B11785" s="3" t="s">
        <v>9806</v>
      </c>
      <c r="C11785" s="3" t="s">
        <v>9808</v>
      </c>
      <c r="D11785" s="4" t="str">
        <f t="shared" si="1737"/>
        <v>12Go Link</v>
      </c>
      <c r="E11785" s="3" t="s">
        <v>9395</v>
      </c>
      <c r="K11785" s="5"/>
    </row>
    <row r="11786">
      <c r="A11786" s="3" t="s">
        <v>9466</v>
      </c>
      <c r="B11786" s="3" t="s">
        <v>9806</v>
      </c>
      <c r="C11786" s="3" t="s">
        <v>9808</v>
      </c>
      <c r="D11786" s="4" t="str">
        <f t="shared" si="1737"/>
        <v>12Go Link</v>
      </c>
      <c r="E11786" s="3" t="s">
        <v>9396</v>
      </c>
      <c r="K11786" s="5"/>
    </row>
    <row r="11787">
      <c r="A11787" s="3" t="s">
        <v>9466</v>
      </c>
      <c r="B11787" s="3" t="s">
        <v>9806</v>
      </c>
      <c r="C11787" s="3" t="s">
        <v>9808</v>
      </c>
      <c r="D11787" s="4" t="str">
        <f t="shared" si="1737"/>
        <v>12Go Link</v>
      </c>
      <c r="E11787" s="3" t="s">
        <v>7470</v>
      </c>
      <c r="K11787" s="5"/>
    </row>
    <row r="11788">
      <c r="A11788" s="3" t="s">
        <v>9466</v>
      </c>
      <c r="B11788" s="3" t="s">
        <v>9684</v>
      </c>
      <c r="C11788" s="3" t="s">
        <v>9809</v>
      </c>
      <c r="D11788" s="4" t="str">
        <f>HYPERLINK("https://12go.asia/en/travel/04-Hang-Chinh-Maison-Mackeno/Tu-Le-Luxury-SSB", "12Go Link")</f>
        <v>12Go Link</v>
      </c>
      <c r="E11788" s="3" t="s">
        <v>9450</v>
      </c>
      <c r="K11788" s="5"/>
    </row>
    <row r="11789">
      <c r="A11789" s="3" t="s">
        <v>9466</v>
      </c>
      <c r="B11789" s="3" t="s">
        <v>9684</v>
      </c>
      <c r="C11789" s="3" t="s">
        <v>9810</v>
      </c>
      <c r="D11789" s="4" t="str">
        <f>HYPERLINK("https://12go.asia/en/travel/04-Hang-Chinh-Maison-Mackeno/Vua-Xu-Mu-Cafe", "12Go Link")</f>
        <v>12Go Link</v>
      </c>
      <c r="E11789" s="3" t="s">
        <v>9450</v>
      </c>
      <c r="K11789" s="5"/>
    </row>
    <row r="11790">
      <c r="A11790" s="3" t="s">
        <v>9466</v>
      </c>
      <c r="B11790" s="3" t="s">
        <v>9684</v>
      </c>
      <c r="C11790" s="3" t="s">
        <v>9811</v>
      </c>
      <c r="D11790" s="4" t="str">
        <f>HYPERLINK("https://12go.asia/en/travel/Hanoi-SSB/Mu-Cang-Chai-SSB", "12Go Link")</f>
        <v>12Go Link</v>
      </c>
      <c r="E11790" s="3" t="s">
        <v>9616</v>
      </c>
      <c r="K11790" s="5"/>
    </row>
    <row r="11791">
      <c r="A11791" s="3" t="s">
        <v>9466</v>
      </c>
      <c r="B11791" s="3" t="s">
        <v>9684</v>
      </c>
      <c r="C11791" s="3" t="s">
        <v>9812</v>
      </c>
      <c r="D11791" s="4" t="str">
        <f>HYPERLINK("https://12go.asia/en/travel/Hanoi-SSB/Nga-Ba-Kim-Market", "12Go Link")</f>
        <v>12Go Link</v>
      </c>
      <c r="E11791" s="3" t="s">
        <v>9616</v>
      </c>
      <c r="K11791" s="5"/>
    </row>
    <row r="11792">
      <c r="A11792" s="3" t="s">
        <v>9466</v>
      </c>
      <c r="B11792" s="3" t="s">
        <v>9684</v>
      </c>
      <c r="C11792" s="3" t="s">
        <v>9813</v>
      </c>
      <c r="D11792" s="4" t="str">
        <f>HYPERLINK("https://12go.asia/en/travel/Hanoi-SSB/Tu-Le-Luxury-SSB", "12Go Link")</f>
        <v>12Go Link</v>
      </c>
      <c r="E11792" s="3" t="s">
        <v>9616</v>
      </c>
      <c r="K11792" s="5"/>
    </row>
    <row r="11793">
      <c r="A11793" s="3" t="s">
        <v>9466</v>
      </c>
      <c r="B11793" s="3" t="s">
        <v>9684</v>
      </c>
      <c r="C11793" s="3" t="s">
        <v>9814</v>
      </c>
      <c r="D11793" s="4" t="str">
        <f>HYPERLINK("https://12go.asia/en/travel/Hanoi-SSB/Vua-Xu-Mu-Cafe", "12Go Link")</f>
        <v>12Go Link</v>
      </c>
      <c r="E11793" s="3" t="s">
        <v>9616</v>
      </c>
      <c r="K11793" s="5"/>
    </row>
    <row r="11794">
      <c r="A11794" s="3" t="s">
        <v>9466</v>
      </c>
      <c r="B11794" s="3" t="s">
        <v>9539</v>
      </c>
      <c r="C11794" s="3" t="s">
        <v>9815</v>
      </c>
      <c r="D11794" s="4" t="str">
        <f t="shared" ref="D11794:D11798" si="1738">HYPERLINK("https://12go.asia/en/travel/Hanoi/Trang-An", "12Go Link")</f>
        <v>12Go Link</v>
      </c>
      <c r="E11794" s="3" t="s">
        <v>222</v>
      </c>
      <c r="K11794" s="5"/>
    </row>
    <row r="11795">
      <c r="A11795" s="3" t="s">
        <v>9466</v>
      </c>
      <c r="B11795" s="3" t="s">
        <v>9539</v>
      </c>
      <c r="C11795" s="3" t="s">
        <v>9815</v>
      </c>
      <c r="D11795" s="4" t="str">
        <f t="shared" si="1738"/>
        <v>12Go Link</v>
      </c>
      <c r="E11795" s="3" t="s">
        <v>6599</v>
      </c>
      <c r="K11795" s="5"/>
    </row>
    <row r="11796">
      <c r="A11796" s="3" t="s">
        <v>9466</v>
      </c>
      <c r="B11796" s="3" t="s">
        <v>9539</v>
      </c>
      <c r="C11796" s="3" t="s">
        <v>9815</v>
      </c>
      <c r="D11796" s="4" t="str">
        <f t="shared" si="1738"/>
        <v>12Go Link</v>
      </c>
      <c r="E11796" s="3" t="s">
        <v>9395</v>
      </c>
      <c r="K11796" s="5"/>
    </row>
    <row r="11797">
      <c r="A11797" s="3" t="s">
        <v>9466</v>
      </c>
      <c r="B11797" s="3" t="s">
        <v>9539</v>
      </c>
      <c r="C11797" s="3" t="s">
        <v>9815</v>
      </c>
      <c r="D11797" s="4" t="str">
        <f t="shared" si="1738"/>
        <v>12Go Link</v>
      </c>
      <c r="E11797" s="3" t="s">
        <v>9396</v>
      </c>
      <c r="K11797" s="5"/>
    </row>
    <row r="11798">
      <c r="A11798" s="3" t="s">
        <v>9466</v>
      </c>
      <c r="B11798" s="3" t="s">
        <v>9539</v>
      </c>
      <c r="C11798" s="3" t="s">
        <v>9815</v>
      </c>
      <c r="D11798" s="4" t="str">
        <f t="shared" si="1738"/>
        <v>12Go Link</v>
      </c>
      <c r="E11798" s="3" t="s">
        <v>7470</v>
      </c>
      <c r="K11798" s="5"/>
    </row>
    <row r="11799">
      <c r="A11799" s="3" t="s">
        <v>9466</v>
      </c>
      <c r="B11799" s="3" t="s">
        <v>9539</v>
      </c>
      <c r="C11799" s="3" t="s">
        <v>9816</v>
      </c>
      <c r="D11799" s="4" t="str">
        <f t="shared" ref="D11799:D11801" si="1739">HYPERLINK("https://12go.asia/en/travel/Hanoi-City-Center-Transfer/Tam-Coc", "12Go Link")</f>
        <v>12Go Link</v>
      </c>
      <c r="E11799" s="3" t="s">
        <v>222</v>
      </c>
      <c r="K11799" s="5"/>
    </row>
    <row r="11800">
      <c r="A11800" s="3" t="s">
        <v>9466</v>
      </c>
      <c r="B11800" s="3" t="s">
        <v>9539</v>
      </c>
      <c r="C11800" s="3" t="s">
        <v>9816</v>
      </c>
      <c r="D11800" s="4" t="str">
        <f t="shared" si="1739"/>
        <v>12Go Link</v>
      </c>
      <c r="E11800" s="3" t="s">
        <v>8111</v>
      </c>
      <c r="K11800" s="5"/>
    </row>
    <row r="11801">
      <c r="A11801" s="3" t="s">
        <v>9466</v>
      </c>
      <c r="B11801" s="3" t="s">
        <v>9539</v>
      </c>
      <c r="C11801" s="3" t="s">
        <v>9816</v>
      </c>
      <c r="D11801" s="4" t="str">
        <f t="shared" si="1739"/>
        <v>12Go Link</v>
      </c>
      <c r="E11801" s="3" t="s">
        <v>226</v>
      </c>
      <c r="K11801" s="5"/>
    </row>
    <row r="11802">
      <c r="A11802" s="3" t="s">
        <v>9466</v>
      </c>
      <c r="B11802" s="3" t="s">
        <v>9539</v>
      </c>
      <c r="C11802" s="3" t="s">
        <v>9817</v>
      </c>
      <c r="D11802" s="4" t="str">
        <f t="shared" ref="D11802:D11804" si="1740">HYPERLINK("https://12go.asia/en/travel/Hanoi-City-Center-Transfer/Trang-An", "12Go Link")</f>
        <v>12Go Link</v>
      </c>
      <c r="E11802" s="3" t="s">
        <v>222</v>
      </c>
      <c r="K11802" s="5"/>
    </row>
    <row r="11803">
      <c r="A11803" s="3" t="s">
        <v>9466</v>
      </c>
      <c r="B11803" s="3" t="s">
        <v>9539</v>
      </c>
      <c r="C11803" s="3" t="s">
        <v>9817</v>
      </c>
      <c r="D11803" s="4" t="str">
        <f t="shared" si="1740"/>
        <v>12Go Link</v>
      </c>
      <c r="E11803" s="3" t="s">
        <v>8111</v>
      </c>
      <c r="K11803" s="5"/>
    </row>
    <row r="11804">
      <c r="A11804" s="3" t="s">
        <v>9466</v>
      </c>
      <c r="B11804" s="3" t="s">
        <v>9539</v>
      </c>
      <c r="C11804" s="3" t="s">
        <v>9817</v>
      </c>
      <c r="D11804" s="4" t="str">
        <f t="shared" si="1740"/>
        <v>12Go Link</v>
      </c>
      <c r="E11804" s="3" t="s">
        <v>226</v>
      </c>
      <c r="K11804" s="5"/>
    </row>
    <row r="11805">
      <c r="A11805" s="3" t="s">
        <v>9466</v>
      </c>
      <c r="B11805" s="3" t="s">
        <v>9539</v>
      </c>
      <c r="C11805" s="3" t="s">
        <v>9818</v>
      </c>
      <c r="D11805" s="4" t="str">
        <f t="shared" ref="D11805:D11809" si="1741">HYPERLINK("https://12go.asia/en/travel/Noi-Bai-Airport/Trang-An", "12Go Link")</f>
        <v>12Go Link</v>
      </c>
      <c r="E11805" s="3" t="s">
        <v>222</v>
      </c>
      <c r="K11805" s="5"/>
    </row>
    <row r="11806">
      <c r="A11806" s="3" t="s">
        <v>9466</v>
      </c>
      <c r="B11806" s="3" t="s">
        <v>9539</v>
      </c>
      <c r="C11806" s="3" t="s">
        <v>9818</v>
      </c>
      <c r="D11806" s="4" t="str">
        <f t="shared" si="1741"/>
        <v>12Go Link</v>
      </c>
      <c r="E11806" s="3" t="s">
        <v>6599</v>
      </c>
      <c r="K11806" s="5"/>
    </row>
    <row r="11807">
      <c r="A11807" s="3" t="s">
        <v>9466</v>
      </c>
      <c r="B11807" s="3" t="s">
        <v>9539</v>
      </c>
      <c r="C11807" s="3" t="s">
        <v>9818</v>
      </c>
      <c r="D11807" s="4" t="str">
        <f t="shared" si="1741"/>
        <v>12Go Link</v>
      </c>
      <c r="E11807" s="3" t="s">
        <v>9395</v>
      </c>
      <c r="K11807" s="5"/>
    </row>
    <row r="11808">
      <c r="A11808" s="3" t="s">
        <v>9466</v>
      </c>
      <c r="B11808" s="3" t="s">
        <v>9539</v>
      </c>
      <c r="C11808" s="3" t="s">
        <v>9818</v>
      </c>
      <c r="D11808" s="4" t="str">
        <f t="shared" si="1741"/>
        <v>12Go Link</v>
      </c>
      <c r="E11808" s="3" t="s">
        <v>9396</v>
      </c>
      <c r="K11808" s="5"/>
    </row>
    <row r="11809">
      <c r="A11809" s="3" t="s">
        <v>9466</v>
      </c>
      <c r="B11809" s="3" t="s">
        <v>9539</v>
      </c>
      <c r="C11809" s="3" t="s">
        <v>9818</v>
      </c>
      <c r="D11809" s="4" t="str">
        <f t="shared" si="1741"/>
        <v>12Go Link</v>
      </c>
      <c r="E11809" s="3" t="s">
        <v>7470</v>
      </c>
      <c r="K11809" s="5"/>
    </row>
    <row r="11810">
      <c r="A11810" s="3" t="s">
        <v>9466</v>
      </c>
      <c r="B11810" s="3" t="s">
        <v>9561</v>
      </c>
      <c r="C11810" s="3" t="s">
        <v>9819</v>
      </c>
      <c r="D11810" s="4" t="str">
        <f>HYPERLINK("https://12go.asia/en/travel/12-Pham-Van-Dong/Central-Backpackers-Hostel-Phong-Nha", "12Go Link")</f>
        <v>12Go Link</v>
      </c>
      <c r="E11810" s="3" t="s">
        <v>9633</v>
      </c>
      <c r="K11810" s="5"/>
    </row>
    <row r="11811">
      <c r="A11811" s="3" t="s">
        <v>9466</v>
      </c>
      <c r="B11811" s="3" t="s">
        <v>9561</v>
      </c>
      <c r="C11811" s="3" t="s">
        <v>9820</v>
      </c>
      <c r="D11811" s="4" t="str">
        <f>HYPERLINK("https://12go.asia/en/travel/12-Pham-Van-Dong/Nam-Anh-Hotel", "12Go Link")</f>
        <v>12Go Link</v>
      </c>
      <c r="E11811" s="3" t="s">
        <v>9633</v>
      </c>
      <c r="K11811" s="5"/>
    </row>
    <row r="11812">
      <c r="A11812" s="3" t="s">
        <v>9466</v>
      </c>
      <c r="B11812" s="3" t="s">
        <v>9561</v>
      </c>
      <c r="C11812" s="3" t="s">
        <v>9821</v>
      </c>
      <c r="D11812" s="4" t="str">
        <f>HYPERLINK("https://12go.asia/en/travel/12-Pham-Van-Dong/Thien-Phu-Hostel", "12Go Link")</f>
        <v>12Go Link</v>
      </c>
      <c r="E11812" s="3" t="s">
        <v>9633</v>
      </c>
      <c r="K11812" s="5"/>
    </row>
    <row r="11813">
      <c r="A11813" s="3" t="s">
        <v>9466</v>
      </c>
      <c r="B11813" s="3" t="s">
        <v>9561</v>
      </c>
      <c r="C11813" s="3" t="s">
        <v>9822</v>
      </c>
      <c r="D11813" s="4" t="str">
        <f>HYPERLINK("https://12go.asia/en/travel/204-Tran-Quang-Khai/Central-Backpackers-Hostel-Phong-Nha", "12Go Link")</f>
        <v>12Go Link</v>
      </c>
      <c r="E11813" s="3" t="s">
        <v>9374</v>
      </c>
      <c r="K11813" s="5"/>
    </row>
    <row r="11814">
      <c r="A11814" s="3" t="s">
        <v>9466</v>
      </c>
      <c r="B11814" s="3" t="s">
        <v>9561</v>
      </c>
      <c r="C11814" s="3" t="s">
        <v>9823</v>
      </c>
      <c r="D11814" s="4" t="str">
        <f>HYPERLINK("https://12go.asia/en/travel/459-Tran-Khat-Chan/Thien-Phu-Hostel", "12Go Link")</f>
        <v>12Go Link</v>
      </c>
      <c r="E11814" s="3" t="s">
        <v>9474</v>
      </c>
      <c r="K11814" s="5"/>
    </row>
    <row r="11815">
      <c r="A11815" s="3" t="s">
        <v>9466</v>
      </c>
      <c r="B11815" s="3" t="s">
        <v>9561</v>
      </c>
      <c r="C11815" s="3" t="s">
        <v>9824</v>
      </c>
      <c r="D11815" s="4" t="str">
        <f>HYPERLINK("https://12go.asia/en/travel/Duc-Duong-Office-Ha-noi/Central-Backpackers-Hostel-Phong-Nha", "12Go Link")</f>
        <v>12Go Link</v>
      </c>
      <c r="E11815" s="3" t="s">
        <v>9374</v>
      </c>
      <c r="K11815" s="5"/>
    </row>
    <row r="11816">
      <c r="A11816" s="3" t="s">
        <v>9466</v>
      </c>
      <c r="B11816" s="3" t="s">
        <v>9561</v>
      </c>
      <c r="C11816" s="3" t="s">
        <v>9825</v>
      </c>
      <c r="D11816" s="4" t="str">
        <f>HYPERLINK("https://12go.asia/en/travel/Duc-Duong-Office-Ha-noi/Nam-Anh-Hotel", "12Go Link")</f>
        <v>12Go Link</v>
      </c>
      <c r="E11816" s="3" t="s">
        <v>9374</v>
      </c>
      <c r="K11816" s="5"/>
    </row>
    <row r="11817">
      <c r="A11817" s="3" t="s">
        <v>9466</v>
      </c>
      <c r="B11817" s="3" t="s">
        <v>9561</v>
      </c>
      <c r="C11817" s="3" t="s">
        <v>9826</v>
      </c>
      <c r="D11817" s="4" t="str">
        <f>HYPERLINK("https://12go.asia/en/travel/Duc-Duong-Office-Ha-noi/Thien-Phu-Hostel", "12Go Link")</f>
        <v>12Go Link</v>
      </c>
      <c r="E11817" s="3" t="s">
        <v>9374</v>
      </c>
      <c r="K11817" s="5"/>
    </row>
    <row r="11818">
      <c r="A11818" s="3" t="s">
        <v>9466</v>
      </c>
      <c r="B11818" s="3" t="s">
        <v>9561</v>
      </c>
      <c r="C11818" s="3" t="s">
        <v>9827</v>
      </c>
      <c r="D11818" s="4" t="str">
        <f>HYPERLINK("https://12go.asia/en/travel/T-Travel/Central-Backpackers-Hostel-Phong-Nha", "12Go Link")</f>
        <v>12Go Link</v>
      </c>
      <c r="E11818" s="3" t="s">
        <v>9374</v>
      </c>
      <c r="K11818" s="5"/>
    </row>
    <row r="11819">
      <c r="A11819" s="3" t="s">
        <v>9466</v>
      </c>
      <c r="B11819" s="3" t="s">
        <v>9561</v>
      </c>
      <c r="C11819" s="3" t="s">
        <v>9828</v>
      </c>
      <c r="D11819" s="4" t="str">
        <f>HYPERLINK("https://12go.asia/en/travel/T-Travel/Nam-Anh-Hotel", "12Go Link")</f>
        <v>12Go Link</v>
      </c>
      <c r="E11819" s="3" t="s">
        <v>9374</v>
      </c>
      <c r="K11819" s="5"/>
    </row>
    <row r="11820">
      <c r="A11820" s="3" t="s">
        <v>9466</v>
      </c>
      <c r="B11820" s="3" t="s">
        <v>9561</v>
      </c>
      <c r="C11820" s="3" t="s">
        <v>9829</v>
      </c>
      <c r="D11820" s="4" t="str">
        <f>HYPERLINK("https://12go.asia/en/travel/T-Travel/Thien-Phu-Hostel", "12Go Link")</f>
        <v>12Go Link</v>
      </c>
      <c r="E11820" s="3" t="s">
        <v>9374</v>
      </c>
      <c r="K11820" s="5"/>
    </row>
    <row r="11821">
      <c r="A11821" s="3" t="s">
        <v>9466</v>
      </c>
      <c r="B11821" s="3" t="s">
        <v>9573</v>
      </c>
      <c r="C11821" s="3" t="s">
        <v>9830</v>
      </c>
      <c r="D11821" s="4" t="str">
        <f>HYPERLINK("https://12go.asia/en/travel/04-Hang-Chinh-Maison-Mackeno/Toyota-Quang-Ninh", "12Go Link")</f>
        <v>12Go Link</v>
      </c>
      <c r="E11821" s="3" t="s">
        <v>9831</v>
      </c>
      <c r="K11821" s="5"/>
    </row>
    <row r="11822">
      <c r="A11822" s="3" t="s">
        <v>9466</v>
      </c>
      <c r="B11822" s="3" t="s">
        <v>9573</v>
      </c>
      <c r="C11822" s="3" t="s">
        <v>9832</v>
      </c>
      <c r="D11822" s="4" t="str">
        <f>HYPERLINK("https://12go.asia/en/travel/162-Tran-Quang-Khai/Halong-International-Cruise-Port", "12Go Link")</f>
        <v>12Go Link</v>
      </c>
      <c r="E11822" s="3" t="s">
        <v>9833</v>
      </c>
      <c r="K11822" s="5"/>
    </row>
    <row r="11823">
      <c r="A11823" s="3" t="s">
        <v>9466</v>
      </c>
      <c r="B11823" s="3" t="s">
        <v>9573</v>
      </c>
      <c r="C11823" s="3" t="s">
        <v>9834</v>
      </c>
      <c r="D11823" s="4" t="str">
        <f>HYPERLINK("https://12go.asia/en/travel/162-Tran-Quang-Khai/Tuan-Chau-Harbour", "12Go Link")</f>
        <v>12Go Link</v>
      </c>
      <c r="E11823" s="3" t="s">
        <v>9833</v>
      </c>
      <c r="K11823" s="5"/>
    </row>
    <row r="11824">
      <c r="A11824" s="3" t="s">
        <v>9466</v>
      </c>
      <c r="B11824" s="3" t="s">
        <v>9573</v>
      </c>
      <c r="C11824" s="3" t="s">
        <v>9835</v>
      </c>
      <c r="D11824" s="4" t="str">
        <f>HYPERLINK("https://12go.asia/en/travel/AEON-Long-Bien/Halong-International-Cruise-Port", "12Go Link")</f>
        <v>12Go Link</v>
      </c>
      <c r="E11824" s="3" t="s">
        <v>9833</v>
      </c>
      <c r="K11824" s="5"/>
    </row>
    <row r="11825">
      <c r="A11825" s="3" t="s">
        <v>9466</v>
      </c>
      <c r="B11825" s="3" t="s">
        <v>9573</v>
      </c>
      <c r="C11825" s="3" t="s">
        <v>9836</v>
      </c>
      <c r="D11825" s="4" t="str">
        <f>HYPERLINK("https://12go.asia/en/travel/AEON-Long-Bien/Tuan-Chau-Harbour", "12Go Link")</f>
        <v>12Go Link</v>
      </c>
      <c r="E11825" s="3" t="s">
        <v>9833</v>
      </c>
      <c r="K11825" s="5"/>
    </row>
    <row r="11826">
      <c r="A11826" s="3" t="s">
        <v>9466</v>
      </c>
      <c r="B11826" s="3" t="s">
        <v>9573</v>
      </c>
      <c r="C11826" s="3" t="s">
        <v>9837</v>
      </c>
      <c r="D11826" s="4" t="str">
        <f t="shared" ref="D11826:D11830" si="1742">HYPERLINK("https://12go.asia/en/travel/Hanoi/Ha-Long", "12Go Link")</f>
        <v>12Go Link</v>
      </c>
      <c r="E11826" s="3" t="s">
        <v>222</v>
      </c>
      <c r="K11826" s="5"/>
    </row>
    <row r="11827">
      <c r="A11827" s="3" t="s">
        <v>9466</v>
      </c>
      <c r="B11827" s="3" t="s">
        <v>9573</v>
      </c>
      <c r="C11827" s="3" t="s">
        <v>9837</v>
      </c>
      <c r="D11827" s="4" t="str">
        <f t="shared" si="1742"/>
        <v>12Go Link</v>
      </c>
      <c r="E11827" s="3" t="s">
        <v>6599</v>
      </c>
      <c r="K11827" s="5"/>
    </row>
    <row r="11828">
      <c r="A11828" s="3" t="s">
        <v>9466</v>
      </c>
      <c r="B11828" s="3" t="s">
        <v>9573</v>
      </c>
      <c r="C11828" s="3" t="s">
        <v>9837</v>
      </c>
      <c r="D11828" s="4" t="str">
        <f t="shared" si="1742"/>
        <v>12Go Link</v>
      </c>
      <c r="E11828" s="3" t="s">
        <v>9395</v>
      </c>
      <c r="K11828" s="5"/>
    </row>
    <row r="11829">
      <c r="A11829" s="3" t="s">
        <v>9466</v>
      </c>
      <c r="B11829" s="3" t="s">
        <v>9573</v>
      </c>
      <c r="C11829" s="3" t="s">
        <v>9837</v>
      </c>
      <c r="D11829" s="4" t="str">
        <f t="shared" si="1742"/>
        <v>12Go Link</v>
      </c>
      <c r="E11829" s="3" t="s">
        <v>9396</v>
      </c>
      <c r="K11829" s="5"/>
    </row>
    <row r="11830">
      <c r="A11830" s="3" t="s">
        <v>9466</v>
      </c>
      <c r="B11830" s="3" t="s">
        <v>9573</v>
      </c>
      <c r="C11830" s="3" t="s">
        <v>9837</v>
      </c>
      <c r="D11830" s="4" t="str">
        <f t="shared" si="1742"/>
        <v>12Go Link</v>
      </c>
      <c r="E11830" s="3" t="s">
        <v>7470</v>
      </c>
      <c r="K11830" s="5"/>
    </row>
    <row r="11831">
      <c r="A11831" s="3" t="s">
        <v>9466</v>
      </c>
      <c r="B11831" s="3" t="s">
        <v>9573</v>
      </c>
      <c r="C11831" s="3" t="s">
        <v>9838</v>
      </c>
      <c r="D11831" s="4" t="str">
        <f>HYPERLINK("https://12go.asia/en/travel/Hanoi-Opera-House/Halong-International-Cruise-Port", "12Go Link")</f>
        <v>12Go Link</v>
      </c>
      <c r="E11831" s="3" t="s">
        <v>9833</v>
      </c>
      <c r="K11831" s="5"/>
    </row>
    <row r="11832">
      <c r="A11832" s="3" t="s">
        <v>9466</v>
      </c>
      <c r="B11832" s="3" t="s">
        <v>9573</v>
      </c>
      <c r="C11832" s="3" t="s">
        <v>9839</v>
      </c>
      <c r="D11832" s="4" t="str">
        <f>HYPERLINK("https://12go.asia/en/travel/Hanoi-Opera-House/Tuan-Chau-Harbour", "12Go Link")</f>
        <v>12Go Link</v>
      </c>
      <c r="E11832" s="3" t="s">
        <v>9833</v>
      </c>
      <c r="K11832" s="5"/>
    </row>
    <row r="11833">
      <c r="A11833" s="3" t="s">
        <v>9466</v>
      </c>
      <c r="B11833" s="3" t="s">
        <v>9573</v>
      </c>
      <c r="C11833" s="3" t="s">
        <v>9840</v>
      </c>
      <c r="D11833" s="4" t="str">
        <f>HYPERLINK("https://12go.asia/en/travel/Hanoi-SSB/Halong-SB1", "12Go Link")</f>
        <v>12Go Link</v>
      </c>
      <c r="E11833" s="3" t="s">
        <v>9607</v>
      </c>
      <c r="K11833" s="5"/>
    </row>
    <row r="11834">
      <c r="A11834" s="3" t="s">
        <v>9466</v>
      </c>
      <c r="B11834" s="3" t="s">
        <v>9573</v>
      </c>
      <c r="C11834" s="3" t="s">
        <v>9841</v>
      </c>
      <c r="D11834" s="4" t="str">
        <f t="shared" ref="D11834:D11838" si="1743">HYPERLINK("https://12go.asia/en/travel/Noi-Bai-Airport/Ha-Long", "12Go Link")</f>
        <v>12Go Link</v>
      </c>
      <c r="E11834" s="3" t="s">
        <v>222</v>
      </c>
      <c r="K11834" s="5"/>
    </row>
    <row r="11835">
      <c r="A11835" s="3" t="s">
        <v>9466</v>
      </c>
      <c r="B11835" s="3" t="s">
        <v>9573</v>
      </c>
      <c r="C11835" s="3" t="s">
        <v>9841</v>
      </c>
      <c r="D11835" s="4" t="str">
        <f t="shared" si="1743"/>
        <v>12Go Link</v>
      </c>
      <c r="E11835" s="3" t="s">
        <v>6599</v>
      </c>
      <c r="K11835" s="5"/>
    </row>
    <row r="11836">
      <c r="A11836" s="3" t="s">
        <v>9466</v>
      </c>
      <c r="B11836" s="3" t="s">
        <v>9573</v>
      </c>
      <c r="C11836" s="3" t="s">
        <v>9841</v>
      </c>
      <c r="D11836" s="4" t="str">
        <f t="shared" si="1743"/>
        <v>12Go Link</v>
      </c>
      <c r="E11836" s="3" t="s">
        <v>9395</v>
      </c>
      <c r="K11836" s="5"/>
    </row>
    <row r="11837">
      <c r="A11837" s="3" t="s">
        <v>9466</v>
      </c>
      <c r="B11837" s="3" t="s">
        <v>9573</v>
      </c>
      <c r="C11837" s="3" t="s">
        <v>9841</v>
      </c>
      <c r="D11837" s="4" t="str">
        <f t="shared" si="1743"/>
        <v>12Go Link</v>
      </c>
      <c r="E11837" s="3" t="s">
        <v>9396</v>
      </c>
      <c r="K11837" s="5"/>
    </row>
    <row r="11838">
      <c r="A11838" s="3" t="s">
        <v>9466</v>
      </c>
      <c r="B11838" s="3" t="s">
        <v>9573</v>
      </c>
      <c r="C11838" s="3" t="s">
        <v>9841</v>
      </c>
      <c r="D11838" s="4" t="str">
        <f t="shared" si="1743"/>
        <v>12Go Link</v>
      </c>
      <c r="E11838" s="3" t="s">
        <v>7470</v>
      </c>
      <c r="K11838" s="5"/>
    </row>
    <row r="11839">
      <c r="A11839" s="3" t="s">
        <v>9466</v>
      </c>
      <c r="B11839" s="3" t="s">
        <v>9573</v>
      </c>
      <c r="C11839" s="3" t="s">
        <v>9842</v>
      </c>
      <c r="D11839" s="4" t="str">
        <f>HYPERLINK("https://12go.asia/en/travel/Vietnam-National-Museum-of-History/Halong-International-Cruise-Port", "12Go Link")</f>
        <v>12Go Link</v>
      </c>
      <c r="E11839" s="3" t="s">
        <v>9833</v>
      </c>
      <c r="K11839" s="5"/>
    </row>
    <row r="11840">
      <c r="A11840" s="3" t="s">
        <v>9466</v>
      </c>
      <c r="B11840" s="3" t="s">
        <v>9573</v>
      </c>
      <c r="C11840" s="3" t="s">
        <v>9843</v>
      </c>
      <c r="D11840" s="4" t="str">
        <f>HYPERLINK("https://12go.asia/en/travel/Vietnam-National-Museum-of-History/Tuan-Chau-Harbour", "12Go Link")</f>
        <v>12Go Link</v>
      </c>
      <c r="E11840" s="3" t="s">
        <v>9833</v>
      </c>
      <c r="K11840" s="5"/>
    </row>
    <row r="11841">
      <c r="A11841" s="3" t="s">
        <v>9466</v>
      </c>
      <c r="B11841" s="3" t="s">
        <v>9691</v>
      </c>
      <c r="C11841" s="3" t="s">
        <v>9844</v>
      </c>
      <c r="D11841" s="4" t="str">
        <f>HYPERLINK("https://12go.asia/en/travel/04-Hang-Chinh-Maison-Mackeno/23-Le-Thanh-Street", "12Go Link")</f>
        <v>12Go Link</v>
      </c>
      <c r="E11841" s="3" t="s">
        <v>9474</v>
      </c>
      <c r="K11841" s="5"/>
    </row>
    <row r="11842">
      <c r="A11842" s="3" t="s">
        <v>9466</v>
      </c>
      <c r="B11842" s="3" t="s">
        <v>9691</v>
      </c>
      <c r="C11842" s="3" t="s">
        <v>9845</v>
      </c>
      <c r="D11842" s="4" t="str">
        <f>HYPERLINK("https://12go.asia/en/travel/04-Hang-Chinh-Maison-Mackeno/582-Duong-Dien-Bien-Phu", "12Go Link")</f>
        <v>12Go Link</v>
      </c>
      <c r="E11842" s="3" t="s">
        <v>9474</v>
      </c>
      <c r="K11842" s="5"/>
    </row>
    <row r="11843">
      <c r="A11843" s="3" t="s">
        <v>9466</v>
      </c>
      <c r="B11843" s="3" t="s">
        <v>9691</v>
      </c>
      <c r="C11843" s="3" t="s">
        <v>9846</v>
      </c>
      <c r="D11843" s="4" t="str">
        <f>HYPERLINK("https://12go.asia/en/travel/114-Tran-Nhat-Duat-Street/Sapa-SSB1", "12Go Link")</f>
        <v>12Go Link</v>
      </c>
      <c r="E11843" s="3" t="s">
        <v>9633</v>
      </c>
      <c r="K11843" s="5"/>
    </row>
    <row r="11844">
      <c r="A11844" s="3" t="s">
        <v>9466</v>
      </c>
      <c r="B11844" s="3" t="s">
        <v>9691</v>
      </c>
      <c r="C11844" s="3" t="s">
        <v>9847</v>
      </c>
      <c r="D11844" s="4" t="str">
        <f>HYPERLINK("https://12go.asia/en/travel/16-Hang-Chinh-Hanoi/23-Le-Thanh-Street", "12Go Link")</f>
        <v>12Go Link</v>
      </c>
      <c r="E11844" s="3" t="s">
        <v>9474</v>
      </c>
      <c r="K11844" s="5"/>
    </row>
    <row r="11845">
      <c r="A11845" s="3" t="s">
        <v>9466</v>
      </c>
      <c r="B11845" s="3" t="s">
        <v>9691</v>
      </c>
      <c r="C11845" s="3" t="s">
        <v>9848</v>
      </c>
      <c r="D11845" s="4" t="str">
        <f>HYPERLINK("https://12go.asia/en/travel/16-Hang-Chinh-Hanoi/582-Duong-Dien-Bien-Phu", "12Go Link")</f>
        <v>12Go Link</v>
      </c>
      <c r="E11845" s="3" t="s">
        <v>9474</v>
      </c>
      <c r="K11845" s="5"/>
    </row>
    <row r="11846">
      <c r="A11846" s="3" t="s">
        <v>9466</v>
      </c>
      <c r="B11846" s="3" t="s">
        <v>9691</v>
      </c>
      <c r="C11846" s="3" t="s">
        <v>9849</v>
      </c>
      <c r="D11846" s="4" t="str">
        <f>HYPERLINK("https://12go.asia/en/travel/Go-Long-Bien/Ket-Doan-Travel-SP", "12Go Link")</f>
        <v>12Go Link</v>
      </c>
      <c r="E11846" s="3" t="s">
        <v>9633</v>
      </c>
      <c r="K11846" s="5"/>
    </row>
    <row r="11847">
      <c r="A11847" s="3" t="s">
        <v>9466</v>
      </c>
      <c r="B11847" s="3" t="s">
        <v>9691</v>
      </c>
      <c r="C11847" s="3" t="s">
        <v>9850</v>
      </c>
      <c r="D11847" s="4" t="str">
        <f t="shared" ref="D11847:D11851" si="1744">HYPERLINK("https://12go.asia/en/travel/Hanoi/Sapa", "12Go Link")</f>
        <v>12Go Link</v>
      </c>
      <c r="E11847" s="3" t="s">
        <v>222</v>
      </c>
      <c r="K11847" s="5"/>
    </row>
    <row r="11848">
      <c r="A11848" s="3" t="s">
        <v>9466</v>
      </c>
      <c r="B11848" s="3" t="s">
        <v>9691</v>
      </c>
      <c r="C11848" s="3" t="s">
        <v>9850</v>
      </c>
      <c r="D11848" s="4" t="str">
        <f t="shared" si="1744"/>
        <v>12Go Link</v>
      </c>
      <c r="E11848" s="3" t="s">
        <v>6599</v>
      </c>
      <c r="K11848" s="5"/>
    </row>
    <row r="11849">
      <c r="A11849" s="3" t="s">
        <v>9466</v>
      </c>
      <c r="B11849" s="3" t="s">
        <v>9691</v>
      </c>
      <c r="C11849" s="3" t="s">
        <v>9850</v>
      </c>
      <c r="D11849" s="4" t="str">
        <f t="shared" si="1744"/>
        <v>12Go Link</v>
      </c>
      <c r="E11849" s="3" t="s">
        <v>9395</v>
      </c>
      <c r="K11849" s="5"/>
    </row>
    <row r="11850">
      <c r="A11850" s="3" t="s">
        <v>9466</v>
      </c>
      <c r="B11850" s="3" t="s">
        <v>9691</v>
      </c>
      <c r="C11850" s="3" t="s">
        <v>9850</v>
      </c>
      <c r="D11850" s="4" t="str">
        <f t="shared" si="1744"/>
        <v>12Go Link</v>
      </c>
      <c r="E11850" s="3" t="s">
        <v>9396</v>
      </c>
      <c r="K11850" s="5"/>
    </row>
    <row r="11851">
      <c r="A11851" s="3" t="s">
        <v>9466</v>
      </c>
      <c r="B11851" s="3" t="s">
        <v>9691</v>
      </c>
      <c r="C11851" s="3" t="s">
        <v>9850</v>
      </c>
      <c r="D11851" s="4" t="str">
        <f t="shared" si="1744"/>
        <v>12Go Link</v>
      </c>
      <c r="E11851" s="3" t="s">
        <v>7470</v>
      </c>
      <c r="K11851" s="5"/>
    </row>
    <row r="11852">
      <c r="A11852" s="3" t="s">
        <v>9466</v>
      </c>
      <c r="B11852" s="3" t="s">
        <v>9691</v>
      </c>
      <c r="C11852" s="3" t="s">
        <v>9851</v>
      </c>
      <c r="D11852" s="4" t="str">
        <f>HYPERLINK("https://12go.asia/en/travel/Hanoi/Sapa-Lao-Cai", "12Go Link")</f>
        <v>12Go Link</v>
      </c>
      <c r="E11852" s="3" t="s">
        <v>9852</v>
      </c>
      <c r="K11852" s="5"/>
    </row>
    <row r="11853">
      <c r="A11853" s="3" t="s">
        <v>9466</v>
      </c>
      <c r="B11853" s="3" t="s">
        <v>9691</v>
      </c>
      <c r="C11853" s="3" t="s">
        <v>9853</v>
      </c>
      <c r="D11853" s="4" t="str">
        <f>HYPERLINK("https://12go.asia/en/travel/Hanoi-Noi-Bai-Airport/Sapa-SSB", "12Go Link")</f>
        <v>12Go Link</v>
      </c>
      <c r="E11853" s="3" t="s">
        <v>9533</v>
      </c>
      <c r="K11853" s="5"/>
    </row>
    <row r="11854">
      <c r="A11854" s="3" t="s">
        <v>9466</v>
      </c>
      <c r="B11854" s="3" t="s">
        <v>9691</v>
      </c>
      <c r="C11854" s="3" t="s">
        <v>9854</v>
      </c>
      <c r="D11854" s="4" t="str">
        <f t="shared" ref="D11854:D11860" si="1745">HYPERLINK("https://12go.asia/en/travel/Hanoi-SSB/23-Le-Thanh-Street", "12Go Link")</f>
        <v>12Go Link</v>
      </c>
      <c r="E11854" s="3" t="s">
        <v>9706</v>
      </c>
      <c r="K11854" s="5"/>
    </row>
    <row r="11855">
      <c r="A11855" s="3" t="s">
        <v>9466</v>
      </c>
      <c r="B11855" s="3" t="s">
        <v>9691</v>
      </c>
      <c r="C11855" s="3" t="s">
        <v>9854</v>
      </c>
      <c r="D11855" s="4" t="str">
        <f t="shared" si="1745"/>
        <v>12Go Link</v>
      </c>
      <c r="E11855" s="3" t="s">
        <v>9616</v>
      </c>
      <c r="K11855" s="5"/>
    </row>
    <row r="11856">
      <c r="A11856" s="3" t="s">
        <v>9466</v>
      </c>
      <c r="B11856" s="3" t="s">
        <v>9691</v>
      </c>
      <c r="C11856" s="3" t="s">
        <v>9854</v>
      </c>
      <c r="D11856" s="4" t="str">
        <f t="shared" si="1745"/>
        <v>12Go Link</v>
      </c>
      <c r="E11856" s="3" t="s">
        <v>9617</v>
      </c>
      <c r="K11856" s="5"/>
    </row>
    <row r="11857">
      <c r="A11857" s="3" t="s">
        <v>9466</v>
      </c>
      <c r="B11857" s="3" t="s">
        <v>9691</v>
      </c>
      <c r="C11857" s="3" t="s">
        <v>9854</v>
      </c>
      <c r="D11857" s="4" t="str">
        <f t="shared" si="1745"/>
        <v>12Go Link</v>
      </c>
      <c r="E11857" s="3" t="s">
        <v>9618</v>
      </c>
      <c r="K11857" s="5"/>
    </row>
    <row r="11858">
      <c r="A11858" s="3" t="s">
        <v>9466</v>
      </c>
      <c r="B11858" s="3" t="s">
        <v>9691</v>
      </c>
      <c r="C11858" s="3" t="s">
        <v>9854</v>
      </c>
      <c r="D11858" s="4" t="str">
        <f t="shared" si="1745"/>
        <v>12Go Link</v>
      </c>
      <c r="E11858" s="3" t="s">
        <v>9450</v>
      </c>
      <c r="K11858" s="5"/>
    </row>
    <row r="11859">
      <c r="A11859" s="3" t="s">
        <v>9466</v>
      </c>
      <c r="B11859" s="3" t="s">
        <v>9691</v>
      </c>
      <c r="C11859" s="3" t="s">
        <v>9854</v>
      </c>
      <c r="D11859" s="4" t="str">
        <f t="shared" si="1745"/>
        <v>12Go Link</v>
      </c>
      <c r="E11859" s="3" t="s">
        <v>9533</v>
      </c>
      <c r="K11859" s="5"/>
    </row>
    <row r="11860">
      <c r="A11860" s="3" t="s">
        <v>9466</v>
      </c>
      <c r="B11860" s="3" t="s">
        <v>9691</v>
      </c>
      <c r="C11860" s="3" t="s">
        <v>9854</v>
      </c>
      <c r="D11860" s="4" t="str">
        <f t="shared" si="1745"/>
        <v>12Go Link</v>
      </c>
      <c r="E11860" s="3" t="s">
        <v>9619</v>
      </c>
      <c r="K11860" s="5"/>
    </row>
    <row r="11861">
      <c r="A11861" s="3" t="s">
        <v>9466</v>
      </c>
      <c r="B11861" s="3" t="s">
        <v>9691</v>
      </c>
      <c r="C11861" s="3" t="s">
        <v>9855</v>
      </c>
      <c r="D11861" s="4" t="str">
        <f t="shared" ref="D11861:D11867" si="1746">HYPERLINK("https://12go.asia/en/travel/Hanoi-SSB/Sapa-SSB", "12Go Link")</f>
        <v>12Go Link</v>
      </c>
      <c r="E11861" s="3" t="s">
        <v>9706</v>
      </c>
      <c r="K11861" s="5"/>
    </row>
    <row r="11862">
      <c r="A11862" s="3" t="s">
        <v>9466</v>
      </c>
      <c r="B11862" s="3" t="s">
        <v>9691</v>
      </c>
      <c r="C11862" s="3" t="s">
        <v>9855</v>
      </c>
      <c r="D11862" s="4" t="str">
        <f t="shared" si="1746"/>
        <v>12Go Link</v>
      </c>
      <c r="E11862" s="3" t="s">
        <v>9616</v>
      </c>
      <c r="K11862" s="5"/>
    </row>
    <row r="11863">
      <c r="A11863" s="3" t="s">
        <v>9466</v>
      </c>
      <c r="B11863" s="3" t="s">
        <v>9691</v>
      </c>
      <c r="C11863" s="3" t="s">
        <v>9855</v>
      </c>
      <c r="D11863" s="4" t="str">
        <f t="shared" si="1746"/>
        <v>12Go Link</v>
      </c>
      <c r="E11863" s="3" t="s">
        <v>9617</v>
      </c>
      <c r="K11863" s="5"/>
    </row>
    <row r="11864">
      <c r="A11864" s="3" t="s">
        <v>9466</v>
      </c>
      <c r="B11864" s="3" t="s">
        <v>9691</v>
      </c>
      <c r="C11864" s="3" t="s">
        <v>9855</v>
      </c>
      <c r="D11864" s="4" t="str">
        <f t="shared" si="1746"/>
        <v>12Go Link</v>
      </c>
      <c r="E11864" s="3" t="s">
        <v>9618</v>
      </c>
      <c r="K11864" s="5"/>
    </row>
    <row r="11865">
      <c r="A11865" s="3" t="s">
        <v>9466</v>
      </c>
      <c r="B11865" s="3" t="s">
        <v>9691</v>
      </c>
      <c r="C11865" s="3" t="s">
        <v>9855</v>
      </c>
      <c r="D11865" s="4" t="str">
        <f t="shared" si="1746"/>
        <v>12Go Link</v>
      </c>
      <c r="E11865" s="3" t="s">
        <v>9450</v>
      </c>
      <c r="K11865" s="5"/>
    </row>
    <row r="11866">
      <c r="A11866" s="3" t="s">
        <v>9466</v>
      </c>
      <c r="B11866" s="3" t="s">
        <v>9691</v>
      </c>
      <c r="C11866" s="3" t="s">
        <v>9855</v>
      </c>
      <c r="D11866" s="4" t="str">
        <f t="shared" si="1746"/>
        <v>12Go Link</v>
      </c>
      <c r="E11866" s="3" t="s">
        <v>9533</v>
      </c>
      <c r="K11866" s="5"/>
    </row>
    <row r="11867">
      <c r="A11867" s="3" t="s">
        <v>9466</v>
      </c>
      <c r="B11867" s="3" t="s">
        <v>9691</v>
      </c>
      <c r="C11867" s="3" t="s">
        <v>9855</v>
      </c>
      <c r="D11867" s="4" t="str">
        <f t="shared" si="1746"/>
        <v>12Go Link</v>
      </c>
      <c r="E11867" s="3" t="s">
        <v>9619</v>
      </c>
      <c r="K11867" s="5"/>
    </row>
    <row r="11868">
      <c r="A11868" s="3" t="s">
        <v>9466</v>
      </c>
      <c r="B11868" s="3" t="s">
        <v>9691</v>
      </c>
      <c r="C11868" s="3" t="s">
        <v>9856</v>
      </c>
      <c r="D11868" s="4" t="str">
        <f t="shared" ref="D11868:D11872" si="1747">HYPERLINK("https://12go.asia/en/travel/Noi-Bai-Airport/Sapa", "12Go Link")</f>
        <v>12Go Link</v>
      </c>
      <c r="E11868" s="3" t="s">
        <v>222</v>
      </c>
      <c r="K11868" s="5"/>
    </row>
    <row r="11869">
      <c r="A11869" s="3" t="s">
        <v>9466</v>
      </c>
      <c r="B11869" s="3" t="s">
        <v>9691</v>
      </c>
      <c r="C11869" s="3" t="s">
        <v>9856</v>
      </c>
      <c r="D11869" s="4" t="str">
        <f t="shared" si="1747"/>
        <v>12Go Link</v>
      </c>
      <c r="E11869" s="3" t="s">
        <v>6599</v>
      </c>
      <c r="K11869" s="5"/>
    </row>
    <row r="11870">
      <c r="A11870" s="3" t="s">
        <v>9466</v>
      </c>
      <c r="B11870" s="3" t="s">
        <v>9691</v>
      </c>
      <c r="C11870" s="3" t="s">
        <v>9856</v>
      </c>
      <c r="D11870" s="4" t="str">
        <f t="shared" si="1747"/>
        <v>12Go Link</v>
      </c>
      <c r="E11870" s="3" t="s">
        <v>9395</v>
      </c>
      <c r="K11870" s="5"/>
    </row>
    <row r="11871">
      <c r="A11871" s="3" t="s">
        <v>9466</v>
      </c>
      <c r="B11871" s="3" t="s">
        <v>9691</v>
      </c>
      <c r="C11871" s="3" t="s">
        <v>9856</v>
      </c>
      <c r="D11871" s="4" t="str">
        <f t="shared" si="1747"/>
        <v>12Go Link</v>
      </c>
      <c r="E11871" s="3" t="s">
        <v>9396</v>
      </c>
      <c r="K11871" s="5"/>
    </row>
    <row r="11872">
      <c r="A11872" s="3" t="s">
        <v>9466</v>
      </c>
      <c r="B11872" s="3" t="s">
        <v>9691</v>
      </c>
      <c r="C11872" s="3" t="s">
        <v>9856</v>
      </c>
      <c r="D11872" s="4" t="str">
        <f t="shared" si="1747"/>
        <v>12Go Link</v>
      </c>
      <c r="E11872" s="3" t="s">
        <v>7470</v>
      </c>
      <c r="K11872" s="5"/>
    </row>
    <row r="11873">
      <c r="A11873" s="3" t="s">
        <v>9466</v>
      </c>
      <c r="B11873" s="3" t="s">
        <v>9857</v>
      </c>
      <c r="C11873" s="3" t="s">
        <v>9858</v>
      </c>
      <c r="D11873" s="4" t="str">
        <f>HYPERLINK("https://12go.asia/en/travel/04-Hang-Chinh-Maison-Mackeno/Nghia-Lo-Petrol-Station", "12Go Link")</f>
        <v>12Go Link</v>
      </c>
      <c r="E11873" s="3" t="s">
        <v>9450</v>
      </c>
      <c r="K11873" s="5"/>
    </row>
    <row r="11874">
      <c r="A11874" s="3" t="s">
        <v>9419</v>
      </c>
      <c r="B11874" s="3" t="s">
        <v>220</v>
      </c>
      <c r="C11874" s="3" t="s">
        <v>9859</v>
      </c>
      <c r="D11874" s="4" t="str">
        <f>HYPERLINK("https://12go.asia/en/travel/303-Pham-Ngu-Lao/Japan-And-Khmer-Hospital", "12Go Link")</f>
        <v>12Go Link</v>
      </c>
      <c r="E11874" s="3" t="s">
        <v>9860</v>
      </c>
      <c r="K11874" s="5"/>
    </row>
    <row r="11875">
      <c r="A11875" s="3" t="s">
        <v>9419</v>
      </c>
      <c r="B11875" s="3" t="s">
        <v>220</v>
      </c>
      <c r="C11875" s="3" t="s">
        <v>9861</v>
      </c>
      <c r="D11875" s="4" t="str">
        <f>HYPERLINK("https://12go.asia/en/travel/303-Pham-Ngu-Lao/Phnom-Penh-Night-Market", "12Go Link")</f>
        <v>12Go Link</v>
      </c>
      <c r="E11875" s="3" t="s">
        <v>9862</v>
      </c>
      <c r="K11875" s="5"/>
    </row>
    <row r="11876">
      <c r="A11876" s="3" t="s">
        <v>9419</v>
      </c>
      <c r="B11876" s="3" t="s">
        <v>9863</v>
      </c>
      <c r="C11876" s="3" t="s">
        <v>9864</v>
      </c>
      <c r="D11876" s="4" t="str">
        <f t="shared" ref="D11876:D11880" si="1748">HYPERLINK("https://12go.asia/en/travel/Ho-Chi-Minh/Ben-Tre-City", "12Go Link")</f>
        <v>12Go Link</v>
      </c>
      <c r="E11876" s="3" t="s">
        <v>222</v>
      </c>
      <c r="K11876" s="5"/>
    </row>
    <row r="11877">
      <c r="A11877" s="3" t="s">
        <v>9419</v>
      </c>
      <c r="B11877" s="3" t="s">
        <v>9863</v>
      </c>
      <c r="C11877" s="3" t="s">
        <v>9864</v>
      </c>
      <c r="D11877" s="4" t="str">
        <f t="shared" si="1748"/>
        <v>12Go Link</v>
      </c>
      <c r="E11877" s="3" t="s">
        <v>6599</v>
      </c>
      <c r="K11877" s="5"/>
    </row>
    <row r="11878">
      <c r="A11878" s="3" t="s">
        <v>9419</v>
      </c>
      <c r="B11878" s="3" t="s">
        <v>9863</v>
      </c>
      <c r="C11878" s="3" t="s">
        <v>9864</v>
      </c>
      <c r="D11878" s="4" t="str">
        <f t="shared" si="1748"/>
        <v>12Go Link</v>
      </c>
      <c r="E11878" s="3" t="s">
        <v>9395</v>
      </c>
      <c r="K11878" s="5"/>
    </row>
    <row r="11879">
      <c r="A11879" s="3" t="s">
        <v>9419</v>
      </c>
      <c r="B11879" s="3" t="s">
        <v>9863</v>
      </c>
      <c r="C11879" s="3" t="s">
        <v>9864</v>
      </c>
      <c r="D11879" s="4" t="str">
        <f t="shared" si="1748"/>
        <v>12Go Link</v>
      </c>
      <c r="E11879" s="3" t="s">
        <v>9396</v>
      </c>
      <c r="K11879" s="5"/>
    </row>
    <row r="11880">
      <c r="A11880" s="3" t="s">
        <v>9419</v>
      </c>
      <c r="B11880" s="3" t="s">
        <v>9863</v>
      </c>
      <c r="C11880" s="3" t="s">
        <v>9864</v>
      </c>
      <c r="D11880" s="4" t="str">
        <f t="shared" si="1748"/>
        <v>12Go Link</v>
      </c>
      <c r="E11880" s="3" t="s">
        <v>7470</v>
      </c>
      <c r="K11880" s="5"/>
    </row>
    <row r="11881">
      <c r="A11881" s="3" t="s">
        <v>9419</v>
      </c>
      <c r="B11881" s="3" t="s">
        <v>9863</v>
      </c>
      <c r="C11881" s="3" t="s">
        <v>9865</v>
      </c>
      <c r="D11881" s="4" t="str">
        <f t="shared" ref="D11881:D11885" si="1749">HYPERLINK("https://12go.asia/en/travel/Ho-Chi-Minh-City-Airport/Ben-Tre-City", "12Go Link")</f>
        <v>12Go Link</v>
      </c>
      <c r="E11881" s="3" t="s">
        <v>222</v>
      </c>
      <c r="K11881" s="5"/>
    </row>
    <row r="11882">
      <c r="A11882" s="3" t="s">
        <v>9419</v>
      </c>
      <c r="B11882" s="3" t="s">
        <v>9863</v>
      </c>
      <c r="C11882" s="3" t="s">
        <v>9865</v>
      </c>
      <c r="D11882" s="4" t="str">
        <f t="shared" si="1749"/>
        <v>12Go Link</v>
      </c>
      <c r="E11882" s="3" t="s">
        <v>6599</v>
      </c>
      <c r="K11882" s="5"/>
    </row>
    <row r="11883">
      <c r="A11883" s="3" t="s">
        <v>9419</v>
      </c>
      <c r="B11883" s="3" t="s">
        <v>9863</v>
      </c>
      <c r="C11883" s="3" t="s">
        <v>9865</v>
      </c>
      <c r="D11883" s="4" t="str">
        <f t="shared" si="1749"/>
        <v>12Go Link</v>
      </c>
      <c r="E11883" s="3" t="s">
        <v>9395</v>
      </c>
      <c r="K11883" s="5"/>
    </row>
    <row r="11884">
      <c r="A11884" s="3" t="s">
        <v>9419</v>
      </c>
      <c r="B11884" s="3" t="s">
        <v>9863</v>
      </c>
      <c r="C11884" s="3" t="s">
        <v>9865</v>
      </c>
      <c r="D11884" s="4" t="str">
        <f t="shared" si="1749"/>
        <v>12Go Link</v>
      </c>
      <c r="E11884" s="3" t="s">
        <v>9396</v>
      </c>
      <c r="K11884" s="5"/>
    </row>
    <row r="11885">
      <c r="A11885" s="3" t="s">
        <v>9419</v>
      </c>
      <c r="B11885" s="3" t="s">
        <v>9863</v>
      </c>
      <c r="C11885" s="3" t="s">
        <v>9865</v>
      </c>
      <c r="D11885" s="4" t="str">
        <f t="shared" si="1749"/>
        <v>12Go Link</v>
      </c>
      <c r="E11885" s="3" t="s">
        <v>7470</v>
      </c>
      <c r="K11885" s="5"/>
    </row>
    <row r="11886">
      <c r="A11886" s="3" t="s">
        <v>9419</v>
      </c>
      <c r="B11886" s="3" t="s">
        <v>9371</v>
      </c>
      <c r="C11886" s="3" t="s">
        <v>9866</v>
      </c>
      <c r="D11886" s="4" t="str">
        <f t="shared" ref="D11886:D11890" si="1750">HYPERLINK("https://12go.asia/en/travel/Ho-Chi-Minh/Thu-Dau-Mot", "12Go Link")</f>
        <v>12Go Link</v>
      </c>
      <c r="E11886" s="3" t="s">
        <v>222</v>
      </c>
      <c r="K11886" s="5"/>
    </row>
    <row r="11887">
      <c r="A11887" s="3" t="s">
        <v>9419</v>
      </c>
      <c r="B11887" s="3" t="s">
        <v>9371</v>
      </c>
      <c r="C11887" s="3" t="s">
        <v>9866</v>
      </c>
      <c r="D11887" s="4" t="str">
        <f t="shared" si="1750"/>
        <v>12Go Link</v>
      </c>
      <c r="E11887" s="3" t="s">
        <v>6599</v>
      </c>
      <c r="K11887" s="5"/>
    </row>
    <row r="11888">
      <c r="A11888" s="3" t="s">
        <v>9419</v>
      </c>
      <c r="B11888" s="3" t="s">
        <v>9371</v>
      </c>
      <c r="C11888" s="3" t="s">
        <v>9866</v>
      </c>
      <c r="D11888" s="4" t="str">
        <f t="shared" si="1750"/>
        <v>12Go Link</v>
      </c>
      <c r="E11888" s="3" t="s">
        <v>9395</v>
      </c>
      <c r="K11888" s="5"/>
    </row>
    <row r="11889">
      <c r="A11889" s="3" t="s">
        <v>9419</v>
      </c>
      <c r="B11889" s="3" t="s">
        <v>9371</v>
      </c>
      <c r="C11889" s="3" t="s">
        <v>9866</v>
      </c>
      <c r="D11889" s="4" t="str">
        <f t="shared" si="1750"/>
        <v>12Go Link</v>
      </c>
      <c r="E11889" s="3" t="s">
        <v>9396</v>
      </c>
      <c r="K11889" s="5"/>
    </row>
    <row r="11890">
      <c r="A11890" s="3" t="s">
        <v>9419</v>
      </c>
      <c r="B11890" s="3" t="s">
        <v>9371</v>
      </c>
      <c r="C11890" s="3" t="s">
        <v>9866</v>
      </c>
      <c r="D11890" s="4" t="str">
        <f t="shared" si="1750"/>
        <v>12Go Link</v>
      </c>
      <c r="E11890" s="3" t="s">
        <v>7470</v>
      </c>
      <c r="K11890" s="5"/>
    </row>
    <row r="11891">
      <c r="A11891" s="3" t="s">
        <v>9419</v>
      </c>
      <c r="B11891" s="3" t="s">
        <v>9371</v>
      </c>
      <c r="C11891" s="3" t="s">
        <v>9867</v>
      </c>
      <c r="D11891" s="4" t="str">
        <f t="shared" ref="D11891:D11895" si="1751">HYPERLINK("https://12go.asia/en/travel/Ho-Chi-Minh-City-Airport/Thu-Dau-Mot", "12Go Link")</f>
        <v>12Go Link</v>
      </c>
      <c r="E11891" s="3" t="s">
        <v>222</v>
      </c>
      <c r="K11891" s="5"/>
    </row>
    <row r="11892">
      <c r="A11892" s="3" t="s">
        <v>9419</v>
      </c>
      <c r="B11892" s="3" t="s">
        <v>9371</v>
      </c>
      <c r="C11892" s="3" t="s">
        <v>9867</v>
      </c>
      <c r="D11892" s="4" t="str">
        <f t="shared" si="1751"/>
        <v>12Go Link</v>
      </c>
      <c r="E11892" s="3" t="s">
        <v>6599</v>
      </c>
      <c r="K11892" s="5"/>
    </row>
    <row r="11893">
      <c r="A11893" s="3" t="s">
        <v>9419</v>
      </c>
      <c r="B11893" s="3" t="s">
        <v>9371</v>
      </c>
      <c r="C11893" s="3" t="s">
        <v>9867</v>
      </c>
      <c r="D11893" s="4" t="str">
        <f t="shared" si="1751"/>
        <v>12Go Link</v>
      </c>
      <c r="E11893" s="3" t="s">
        <v>9395</v>
      </c>
      <c r="K11893" s="5"/>
    </row>
    <row r="11894">
      <c r="A11894" s="3" t="s">
        <v>9419</v>
      </c>
      <c r="B11894" s="3" t="s">
        <v>9371</v>
      </c>
      <c r="C11894" s="3" t="s">
        <v>9867</v>
      </c>
      <c r="D11894" s="4" t="str">
        <f t="shared" si="1751"/>
        <v>12Go Link</v>
      </c>
      <c r="E11894" s="3" t="s">
        <v>9396</v>
      </c>
      <c r="K11894" s="5"/>
    </row>
    <row r="11895">
      <c r="A11895" s="3" t="s">
        <v>9419</v>
      </c>
      <c r="B11895" s="3" t="s">
        <v>9371</v>
      </c>
      <c r="C11895" s="3" t="s">
        <v>9867</v>
      </c>
      <c r="D11895" s="4" t="str">
        <f t="shared" si="1751"/>
        <v>12Go Link</v>
      </c>
      <c r="E11895" s="3" t="s">
        <v>7470</v>
      </c>
      <c r="K11895" s="5"/>
    </row>
    <row r="11896">
      <c r="A11896" s="3" t="s">
        <v>9419</v>
      </c>
      <c r="B11896" s="3" t="s">
        <v>9393</v>
      </c>
      <c r="C11896" s="3" t="s">
        <v>9868</v>
      </c>
      <c r="D11896" s="4" t="str">
        <f t="shared" ref="D11896:D11900" si="1752">HYPERLINK("https://12go.asia/en/travel/Ho-Chi-Minh/Cam-Ranh", "12Go Link")</f>
        <v>12Go Link</v>
      </c>
      <c r="E11896" s="3" t="s">
        <v>222</v>
      </c>
      <c r="K11896" s="5"/>
    </row>
    <row r="11897">
      <c r="A11897" s="3" t="s">
        <v>9419</v>
      </c>
      <c r="B11897" s="3" t="s">
        <v>9393</v>
      </c>
      <c r="C11897" s="3" t="s">
        <v>9868</v>
      </c>
      <c r="D11897" s="4" t="str">
        <f t="shared" si="1752"/>
        <v>12Go Link</v>
      </c>
      <c r="E11897" s="3" t="s">
        <v>6599</v>
      </c>
      <c r="K11897" s="5"/>
    </row>
    <row r="11898">
      <c r="A11898" s="3" t="s">
        <v>9419</v>
      </c>
      <c r="B11898" s="3" t="s">
        <v>9393</v>
      </c>
      <c r="C11898" s="3" t="s">
        <v>9868</v>
      </c>
      <c r="D11898" s="4" t="str">
        <f t="shared" si="1752"/>
        <v>12Go Link</v>
      </c>
      <c r="E11898" s="3" t="s">
        <v>9395</v>
      </c>
      <c r="K11898" s="5"/>
    </row>
    <row r="11899">
      <c r="A11899" s="3" t="s">
        <v>9419</v>
      </c>
      <c r="B11899" s="3" t="s">
        <v>9393</v>
      </c>
      <c r="C11899" s="3" t="s">
        <v>9868</v>
      </c>
      <c r="D11899" s="4" t="str">
        <f t="shared" si="1752"/>
        <v>12Go Link</v>
      </c>
      <c r="E11899" s="3" t="s">
        <v>9396</v>
      </c>
      <c r="K11899" s="5"/>
    </row>
    <row r="11900">
      <c r="A11900" s="3" t="s">
        <v>9419</v>
      </c>
      <c r="B11900" s="3" t="s">
        <v>9393</v>
      </c>
      <c r="C11900" s="3" t="s">
        <v>9868</v>
      </c>
      <c r="D11900" s="4" t="str">
        <f t="shared" si="1752"/>
        <v>12Go Link</v>
      </c>
      <c r="E11900" s="3" t="s">
        <v>7470</v>
      </c>
      <c r="K11900" s="5"/>
    </row>
    <row r="11901">
      <c r="A11901" s="3" t="s">
        <v>9419</v>
      </c>
      <c r="B11901" s="3" t="s">
        <v>9393</v>
      </c>
      <c r="C11901" s="3" t="s">
        <v>9869</v>
      </c>
      <c r="D11901" s="4" t="str">
        <f t="shared" ref="D11901:D11904" si="1753">HYPERLINK("https://12go.asia/en/travel/Ho-Chi-Minh-City-Airport/Cam-Ranh", "12Go Link")</f>
        <v>12Go Link</v>
      </c>
      <c r="E11901" s="3" t="s">
        <v>222</v>
      </c>
      <c r="K11901" s="5"/>
    </row>
    <row r="11902">
      <c r="A11902" s="3" t="s">
        <v>9419</v>
      </c>
      <c r="B11902" s="3" t="s">
        <v>9393</v>
      </c>
      <c r="C11902" s="3" t="s">
        <v>9869</v>
      </c>
      <c r="D11902" s="4" t="str">
        <f t="shared" si="1753"/>
        <v>12Go Link</v>
      </c>
      <c r="E11902" s="3" t="s">
        <v>9395</v>
      </c>
      <c r="K11902" s="5"/>
    </row>
    <row r="11903">
      <c r="A11903" s="3" t="s">
        <v>9419</v>
      </c>
      <c r="B11903" s="3" t="s">
        <v>9393</v>
      </c>
      <c r="C11903" s="3" t="s">
        <v>9869</v>
      </c>
      <c r="D11903" s="4" t="str">
        <f t="shared" si="1753"/>
        <v>12Go Link</v>
      </c>
      <c r="E11903" s="3" t="s">
        <v>9396</v>
      </c>
      <c r="K11903" s="5"/>
    </row>
    <row r="11904">
      <c r="A11904" s="3" t="s">
        <v>9419</v>
      </c>
      <c r="B11904" s="3" t="s">
        <v>9393</v>
      </c>
      <c r="C11904" s="3" t="s">
        <v>9869</v>
      </c>
      <c r="D11904" s="4" t="str">
        <f t="shared" si="1753"/>
        <v>12Go Link</v>
      </c>
      <c r="E11904" s="3" t="s">
        <v>7470</v>
      </c>
      <c r="K11904" s="5"/>
    </row>
    <row r="11905">
      <c r="A11905" s="3" t="s">
        <v>9419</v>
      </c>
      <c r="B11905" s="3" t="s">
        <v>9870</v>
      </c>
      <c r="C11905" s="3" t="s">
        <v>9871</v>
      </c>
      <c r="D11905" s="4" t="str">
        <f t="shared" ref="D11905:D11909" si="1754">HYPERLINK("https://12go.asia/en/travel/Ho-Chi-Minh/Can-Tho", "12Go Link")</f>
        <v>12Go Link</v>
      </c>
      <c r="E11905" s="3" t="s">
        <v>222</v>
      </c>
      <c r="K11905" s="5"/>
    </row>
    <row r="11906">
      <c r="A11906" s="3" t="s">
        <v>9419</v>
      </c>
      <c r="B11906" s="3" t="s">
        <v>9870</v>
      </c>
      <c r="C11906" s="3" t="s">
        <v>9871</v>
      </c>
      <c r="D11906" s="4" t="str">
        <f t="shared" si="1754"/>
        <v>12Go Link</v>
      </c>
      <c r="E11906" s="3" t="s">
        <v>6599</v>
      </c>
      <c r="K11906" s="5"/>
    </row>
    <row r="11907">
      <c r="A11907" s="3" t="s">
        <v>9419</v>
      </c>
      <c r="B11907" s="3" t="s">
        <v>9870</v>
      </c>
      <c r="C11907" s="3" t="s">
        <v>9871</v>
      </c>
      <c r="D11907" s="4" t="str">
        <f t="shared" si="1754"/>
        <v>12Go Link</v>
      </c>
      <c r="E11907" s="3" t="s">
        <v>9395</v>
      </c>
      <c r="K11907" s="5"/>
    </row>
    <row r="11908">
      <c r="A11908" s="3" t="s">
        <v>9419</v>
      </c>
      <c r="B11908" s="3" t="s">
        <v>9870</v>
      </c>
      <c r="C11908" s="3" t="s">
        <v>9871</v>
      </c>
      <c r="D11908" s="4" t="str">
        <f t="shared" si="1754"/>
        <v>12Go Link</v>
      </c>
      <c r="E11908" s="3" t="s">
        <v>9396</v>
      </c>
      <c r="K11908" s="5"/>
    </row>
    <row r="11909">
      <c r="A11909" s="3" t="s">
        <v>9419</v>
      </c>
      <c r="B11909" s="3" t="s">
        <v>9870</v>
      </c>
      <c r="C11909" s="3" t="s">
        <v>9871</v>
      </c>
      <c r="D11909" s="4" t="str">
        <f t="shared" si="1754"/>
        <v>12Go Link</v>
      </c>
      <c r="E11909" s="3" t="s">
        <v>7470</v>
      </c>
      <c r="K11909" s="5"/>
    </row>
    <row r="11910">
      <c r="A11910" s="3" t="s">
        <v>9419</v>
      </c>
      <c r="B11910" s="3" t="s">
        <v>9870</v>
      </c>
      <c r="C11910" s="3" t="s">
        <v>9872</v>
      </c>
      <c r="D11910" s="4" t="str">
        <f t="shared" ref="D11910:D11914" si="1755">HYPERLINK("https://12go.asia/en/travel/Ho-Chi-Minh-City-Airport/Can-Tho", "12Go Link")</f>
        <v>12Go Link</v>
      </c>
      <c r="E11910" s="3" t="s">
        <v>222</v>
      </c>
      <c r="K11910" s="5"/>
    </row>
    <row r="11911">
      <c r="A11911" s="3" t="s">
        <v>9419</v>
      </c>
      <c r="B11911" s="3" t="s">
        <v>9870</v>
      </c>
      <c r="C11911" s="3" t="s">
        <v>9872</v>
      </c>
      <c r="D11911" s="4" t="str">
        <f t="shared" si="1755"/>
        <v>12Go Link</v>
      </c>
      <c r="E11911" s="3" t="s">
        <v>6599</v>
      </c>
      <c r="K11911" s="5"/>
    </row>
    <row r="11912">
      <c r="A11912" s="3" t="s">
        <v>9419</v>
      </c>
      <c r="B11912" s="3" t="s">
        <v>9870</v>
      </c>
      <c r="C11912" s="3" t="s">
        <v>9872</v>
      </c>
      <c r="D11912" s="4" t="str">
        <f t="shared" si="1755"/>
        <v>12Go Link</v>
      </c>
      <c r="E11912" s="3" t="s">
        <v>9395</v>
      </c>
      <c r="K11912" s="5"/>
    </row>
    <row r="11913">
      <c r="A11913" s="3" t="s">
        <v>9419</v>
      </c>
      <c r="B11913" s="3" t="s">
        <v>9870</v>
      </c>
      <c r="C11913" s="3" t="s">
        <v>9872</v>
      </c>
      <c r="D11913" s="4" t="str">
        <f t="shared" si="1755"/>
        <v>12Go Link</v>
      </c>
      <c r="E11913" s="3" t="s">
        <v>9396</v>
      </c>
      <c r="K11913" s="5"/>
    </row>
    <row r="11914">
      <c r="A11914" s="3" t="s">
        <v>9419</v>
      </c>
      <c r="B11914" s="3" t="s">
        <v>9870</v>
      </c>
      <c r="C11914" s="3" t="s">
        <v>9872</v>
      </c>
      <c r="D11914" s="4" t="str">
        <f t="shared" si="1755"/>
        <v>12Go Link</v>
      </c>
      <c r="E11914" s="3" t="s">
        <v>7470</v>
      </c>
      <c r="K11914" s="5"/>
    </row>
    <row r="11915">
      <c r="A11915" s="3" t="s">
        <v>9419</v>
      </c>
      <c r="B11915" s="3" t="s">
        <v>9372</v>
      </c>
      <c r="C11915" s="3" t="s">
        <v>9873</v>
      </c>
      <c r="D11915" s="4" t="str">
        <f t="shared" ref="D11915:D11916" si="1756">HYPERLINK("https://12go.asia/en/travel/144-Nguyen-Van-Luong/190-Xo-Viet-Nghe-Tinh", "12Go Link")</f>
        <v>12Go Link</v>
      </c>
      <c r="E11915" s="3" t="s">
        <v>9374</v>
      </c>
      <c r="K11915" s="5"/>
    </row>
    <row r="11916">
      <c r="A11916" s="3" t="s">
        <v>9419</v>
      </c>
      <c r="B11916" s="3" t="s">
        <v>9372</v>
      </c>
      <c r="C11916" s="3" t="s">
        <v>9873</v>
      </c>
      <c r="D11916" s="4" t="str">
        <f t="shared" si="1756"/>
        <v>12Go Link</v>
      </c>
      <c r="E11916" s="3" t="s">
        <v>9412</v>
      </c>
      <c r="K11916" s="5"/>
    </row>
    <row r="11917">
      <c r="A11917" s="3" t="s">
        <v>9419</v>
      </c>
      <c r="B11917" s="3" t="s">
        <v>9372</v>
      </c>
      <c r="C11917" s="3" t="s">
        <v>9874</v>
      </c>
      <c r="D11917" s="4" t="str">
        <f t="shared" ref="D11917:D11918" si="1757">HYPERLINK("https://12go.asia/en/travel/144-Nguyen-Van-Luong/28-Tran-Hung-Dao", "12Go Link")</f>
        <v>12Go Link</v>
      </c>
      <c r="E11917" s="3" t="s">
        <v>9374</v>
      </c>
      <c r="K11917" s="5"/>
    </row>
    <row r="11918">
      <c r="A11918" s="3" t="s">
        <v>9419</v>
      </c>
      <c r="B11918" s="3" t="s">
        <v>9372</v>
      </c>
      <c r="C11918" s="3" t="s">
        <v>9874</v>
      </c>
      <c r="D11918" s="4" t="str">
        <f t="shared" si="1757"/>
        <v>12Go Link</v>
      </c>
      <c r="E11918" s="3" t="s">
        <v>9412</v>
      </c>
      <c r="K11918" s="5"/>
    </row>
    <row r="11919">
      <c r="A11919" s="3" t="s">
        <v>9419</v>
      </c>
      <c r="B11919" s="3" t="s">
        <v>9372</v>
      </c>
      <c r="C11919" s="3" t="s">
        <v>9875</v>
      </c>
      <c r="D11919" s="4" t="str">
        <f t="shared" ref="D11919:D11920" si="1758">HYPERLINK("https://12go.asia/en/travel/144-Nguyen-Van-Luong/Da-Lat-Bus-Station", "12Go Link")</f>
        <v>12Go Link</v>
      </c>
      <c r="E11919" s="3" t="s">
        <v>9374</v>
      </c>
      <c r="K11919" s="5"/>
    </row>
    <row r="11920">
      <c r="A11920" s="3" t="s">
        <v>9419</v>
      </c>
      <c r="B11920" s="3" t="s">
        <v>9372</v>
      </c>
      <c r="C11920" s="3" t="s">
        <v>9875</v>
      </c>
      <c r="D11920" s="4" t="str">
        <f t="shared" si="1758"/>
        <v>12Go Link</v>
      </c>
      <c r="E11920" s="3" t="s">
        <v>9412</v>
      </c>
      <c r="K11920" s="5"/>
    </row>
    <row r="11921">
      <c r="A11921" s="3" t="s">
        <v>9419</v>
      </c>
      <c r="B11921" s="3" t="s">
        <v>9372</v>
      </c>
      <c r="C11921" s="3" t="s">
        <v>9876</v>
      </c>
      <c r="D11921" s="4" t="str">
        <f t="shared" ref="D11921:D11922" si="1759">HYPERLINK("https://12go.asia/en/travel/144-Nguyen-Van-Luong/Dalat-Railway-Station", "12Go Link")</f>
        <v>12Go Link</v>
      </c>
      <c r="E11921" s="3" t="s">
        <v>9374</v>
      </c>
      <c r="K11921" s="5"/>
    </row>
    <row r="11922">
      <c r="A11922" s="3" t="s">
        <v>9419</v>
      </c>
      <c r="B11922" s="3" t="s">
        <v>9372</v>
      </c>
      <c r="C11922" s="3" t="s">
        <v>9876</v>
      </c>
      <c r="D11922" s="4" t="str">
        <f t="shared" si="1759"/>
        <v>12Go Link</v>
      </c>
      <c r="E11922" s="3" t="s">
        <v>9412</v>
      </c>
      <c r="K11922" s="5"/>
    </row>
    <row r="11923">
      <c r="A11923" s="3" t="s">
        <v>9419</v>
      </c>
      <c r="B11923" s="3" t="s">
        <v>9372</v>
      </c>
      <c r="C11923" s="3" t="s">
        <v>9877</v>
      </c>
      <c r="D11923" s="4" t="str">
        <f t="shared" ref="D11923:D11924" si="1760">HYPERLINK("https://12go.asia/en/travel/144-Nguyen-Van-Luong/Pham-Hong-Thai-Street", "12Go Link")</f>
        <v>12Go Link</v>
      </c>
      <c r="E11923" s="3" t="s">
        <v>9374</v>
      </c>
      <c r="K11923" s="5"/>
    </row>
    <row r="11924">
      <c r="A11924" s="3" t="s">
        <v>9419</v>
      </c>
      <c r="B11924" s="3" t="s">
        <v>9372</v>
      </c>
      <c r="C11924" s="3" t="s">
        <v>9877</v>
      </c>
      <c r="D11924" s="4" t="str">
        <f t="shared" si="1760"/>
        <v>12Go Link</v>
      </c>
      <c r="E11924" s="3" t="s">
        <v>9412</v>
      </c>
      <c r="K11924" s="5"/>
    </row>
    <row r="11925">
      <c r="A11925" s="3" t="s">
        <v>9419</v>
      </c>
      <c r="B11925" s="3" t="s">
        <v>9372</v>
      </c>
      <c r="C11925" s="3" t="s">
        <v>9878</v>
      </c>
      <c r="D11925" s="4" t="str">
        <f>HYPERLINK("https://12go.asia/en/travel/144-Nguyen-Van-Luong/Tram-Hanh-Cau-Dat", "12Go Link")</f>
        <v>12Go Link</v>
      </c>
      <c r="E11925" s="3" t="s">
        <v>9374</v>
      </c>
      <c r="K11925" s="5"/>
    </row>
    <row r="11926">
      <c r="A11926" s="3" t="s">
        <v>9419</v>
      </c>
      <c r="B11926" s="3" t="s">
        <v>9372</v>
      </c>
      <c r="C11926" s="3" t="s">
        <v>9879</v>
      </c>
      <c r="D11926" s="4" t="str">
        <f>HYPERLINK("https://12go.asia/en/travel/147-Le-Hong-Phong/Da-Lat-Bus-Station", "12Go Link")</f>
        <v>12Go Link</v>
      </c>
      <c r="E11926" s="3" t="s">
        <v>9415</v>
      </c>
      <c r="K11926" s="5"/>
    </row>
    <row r="11927">
      <c r="A11927" s="3" t="s">
        <v>9419</v>
      </c>
      <c r="B11927" s="3" t="s">
        <v>9372</v>
      </c>
      <c r="C11927" s="3" t="s">
        <v>9880</v>
      </c>
      <c r="D11927" s="4" t="str">
        <f t="shared" ref="D11927:D11928" si="1761">HYPERLINK("https://12go.asia/en/travel/Binh-Phuoc-intersection/190-Xo-Viet-Nghe-Tinh", "12Go Link")</f>
        <v>12Go Link</v>
      </c>
      <c r="E11927" s="3" t="s">
        <v>9374</v>
      </c>
      <c r="K11927" s="5"/>
    </row>
    <row r="11928">
      <c r="A11928" s="3" t="s">
        <v>9419</v>
      </c>
      <c r="B11928" s="3" t="s">
        <v>9372</v>
      </c>
      <c r="C11928" s="3" t="s">
        <v>9880</v>
      </c>
      <c r="D11928" s="4" t="str">
        <f t="shared" si="1761"/>
        <v>12Go Link</v>
      </c>
      <c r="E11928" s="3" t="s">
        <v>9412</v>
      </c>
      <c r="K11928" s="5"/>
    </row>
    <row r="11929">
      <c r="A11929" s="3" t="s">
        <v>9419</v>
      </c>
      <c r="B11929" s="3" t="s">
        <v>9372</v>
      </c>
      <c r="C11929" s="3" t="s">
        <v>9881</v>
      </c>
      <c r="D11929" s="4" t="str">
        <f t="shared" ref="D11929:D11930" si="1762">HYPERLINK("https://12go.asia/en/travel/Binh-Phuoc-intersection/28-Tran-Hung-Dao", "12Go Link")</f>
        <v>12Go Link</v>
      </c>
      <c r="E11929" s="3" t="s">
        <v>9374</v>
      </c>
      <c r="K11929" s="5"/>
    </row>
    <row r="11930">
      <c r="A11930" s="3" t="s">
        <v>9419</v>
      </c>
      <c r="B11930" s="3" t="s">
        <v>9372</v>
      </c>
      <c r="C11930" s="3" t="s">
        <v>9881</v>
      </c>
      <c r="D11930" s="4" t="str">
        <f t="shared" si="1762"/>
        <v>12Go Link</v>
      </c>
      <c r="E11930" s="3" t="s">
        <v>9412</v>
      </c>
      <c r="K11930" s="5"/>
    </row>
    <row r="11931">
      <c r="A11931" s="3" t="s">
        <v>9419</v>
      </c>
      <c r="B11931" s="3" t="s">
        <v>9372</v>
      </c>
      <c r="C11931" s="3" t="s">
        <v>9882</v>
      </c>
      <c r="D11931" s="4" t="str">
        <f t="shared" ref="D11931:D11932" si="1763">HYPERLINK("https://12go.asia/en/travel/Binh-Phuoc-intersection/Da-Lat-Bus-Station", "12Go Link")</f>
        <v>12Go Link</v>
      </c>
      <c r="E11931" s="3" t="s">
        <v>9374</v>
      </c>
      <c r="K11931" s="5"/>
    </row>
    <row r="11932">
      <c r="A11932" s="3" t="s">
        <v>9419</v>
      </c>
      <c r="B11932" s="3" t="s">
        <v>9372</v>
      </c>
      <c r="C11932" s="3" t="s">
        <v>9882</v>
      </c>
      <c r="D11932" s="4" t="str">
        <f t="shared" si="1763"/>
        <v>12Go Link</v>
      </c>
      <c r="E11932" s="3" t="s">
        <v>9412</v>
      </c>
      <c r="K11932" s="5"/>
    </row>
    <row r="11933">
      <c r="A11933" s="3" t="s">
        <v>9419</v>
      </c>
      <c r="B11933" s="3" t="s">
        <v>9372</v>
      </c>
      <c r="C11933" s="3" t="s">
        <v>9883</v>
      </c>
      <c r="D11933" s="4" t="str">
        <f t="shared" ref="D11933:D11934" si="1764">HYPERLINK("https://12go.asia/en/travel/Binh-Phuoc-intersection/Dalat-Railway-Station", "12Go Link")</f>
        <v>12Go Link</v>
      </c>
      <c r="E11933" s="3" t="s">
        <v>9374</v>
      </c>
      <c r="K11933" s="5"/>
    </row>
    <row r="11934">
      <c r="A11934" s="3" t="s">
        <v>9419</v>
      </c>
      <c r="B11934" s="3" t="s">
        <v>9372</v>
      </c>
      <c r="C11934" s="3" t="s">
        <v>9883</v>
      </c>
      <c r="D11934" s="4" t="str">
        <f t="shared" si="1764"/>
        <v>12Go Link</v>
      </c>
      <c r="E11934" s="3" t="s">
        <v>9412</v>
      </c>
      <c r="K11934" s="5"/>
    </row>
    <row r="11935">
      <c r="A11935" s="3" t="s">
        <v>9419</v>
      </c>
      <c r="B11935" s="3" t="s">
        <v>9372</v>
      </c>
      <c r="C11935" s="3" t="s">
        <v>9884</v>
      </c>
      <c r="D11935" s="4" t="str">
        <f t="shared" ref="D11935:D11936" si="1765">HYPERLINK("https://12go.asia/en/travel/Binh-Phuoc-intersection/Pham-Hong-Thai-Street", "12Go Link")</f>
        <v>12Go Link</v>
      </c>
      <c r="E11935" s="3" t="s">
        <v>9374</v>
      </c>
      <c r="K11935" s="5"/>
    </row>
    <row r="11936">
      <c r="A11936" s="3" t="s">
        <v>9419</v>
      </c>
      <c r="B11936" s="3" t="s">
        <v>9372</v>
      </c>
      <c r="C11936" s="3" t="s">
        <v>9884</v>
      </c>
      <c r="D11936" s="4" t="str">
        <f t="shared" si="1765"/>
        <v>12Go Link</v>
      </c>
      <c r="E11936" s="3" t="s">
        <v>9412</v>
      </c>
      <c r="K11936" s="5"/>
    </row>
    <row r="11937">
      <c r="A11937" s="3" t="s">
        <v>9419</v>
      </c>
      <c r="B11937" s="3" t="s">
        <v>9372</v>
      </c>
      <c r="C11937" s="3" t="s">
        <v>9885</v>
      </c>
      <c r="D11937" s="4" t="str">
        <f>HYPERLINK("https://12go.asia/en/travel/Binh-Phuoc-intersection/Tram-Hanh-Cau-Dat", "12Go Link")</f>
        <v>12Go Link</v>
      </c>
      <c r="E11937" s="3" t="s">
        <v>9374</v>
      </c>
      <c r="K11937" s="5"/>
    </row>
    <row r="11938">
      <c r="A11938" s="3" t="s">
        <v>9419</v>
      </c>
      <c r="B11938" s="3" t="s">
        <v>9372</v>
      </c>
      <c r="C11938" s="3" t="s">
        <v>9886</v>
      </c>
      <c r="D11938" s="4" t="str">
        <f t="shared" ref="D11938:D11939" si="1766">HYPERLINK("https://12go.asia/en/travel/Binh-Thanh/190-Xo-Viet-Nghe-Tinh", "12Go Link")</f>
        <v>12Go Link</v>
      </c>
      <c r="E11938" s="3" t="s">
        <v>9374</v>
      </c>
      <c r="K11938" s="5"/>
    </row>
    <row r="11939">
      <c r="A11939" s="3" t="s">
        <v>9419</v>
      </c>
      <c r="B11939" s="3" t="s">
        <v>9372</v>
      </c>
      <c r="C11939" s="3" t="s">
        <v>9886</v>
      </c>
      <c r="D11939" s="4" t="str">
        <f t="shared" si="1766"/>
        <v>12Go Link</v>
      </c>
      <c r="E11939" s="3" t="s">
        <v>9412</v>
      </c>
      <c r="K11939" s="5"/>
    </row>
    <row r="11940">
      <c r="A11940" s="3" t="s">
        <v>9419</v>
      </c>
      <c r="B11940" s="3" t="s">
        <v>9372</v>
      </c>
      <c r="C11940" s="3" t="s">
        <v>9887</v>
      </c>
      <c r="D11940" s="4" t="str">
        <f t="shared" ref="D11940:D11941" si="1767">HYPERLINK("https://12go.asia/en/travel/Binh-Thanh/28-Tran-Hung-Dao", "12Go Link")</f>
        <v>12Go Link</v>
      </c>
      <c r="E11940" s="3" t="s">
        <v>9374</v>
      </c>
      <c r="K11940" s="5"/>
    </row>
    <row r="11941">
      <c r="A11941" s="3" t="s">
        <v>9419</v>
      </c>
      <c r="B11941" s="3" t="s">
        <v>9372</v>
      </c>
      <c r="C11941" s="3" t="s">
        <v>9887</v>
      </c>
      <c r="D11941" s="4" t="str">
        <f t="shared" si="1767"/>
        <v>12Go Link</v>
      </c>
      <c r="E11941" s="3" t="s">
        <v>9412</v>
      </c>
      <c r="K11941" s="5"/>
    </row>
    <row r="11942">
      <c r="A11942" s="3" t="s">
        <v>9419</v>
      </c>
      <c r="B11942" s="3" t="s">
        <v>9372</v>
      </c>
      <c r="C11942" s="3" t="s">
        <v>9888</v>
      </c>
      <c r="D11942" s="4" t="str">
        <f t="shared" ref="D11942:D11943" si="1768">HYPERLINK("https://12go.asia/en/travel/Binh-Thanh/Da-Lat-Bus-Station", "12Go Link")</f>
        <v>12Go Link</v>
      </c>
      <c r="E11942" s="3" t="s">
        <v>9374</v>
      </c>
      <c r="K11942" s="5"/>
    </row>
    <row r="11943">
      <c r="A11943" s="3" t="s">
        <v>9419</v>
      </c>
      <c r="B11943" s="3" t="s">
        <v>9372</v>
      </c>
      <c r="C11943" s="3" t="s">
        <v>9888</v>
      </c>
      <c r="D11943" s="4" t="str">
        <f t="shared" si="1768"/>
        <v>12Go Link</v>
      </c>
      <c r="E11943" s="3" t="s">
        <v>9412</v>
      </c>
      <c r="K11943" s="5"/>
    </row>
    <row r="11944">
      <c r="A11944" s="3" t="s">
        <v>9419</v>
      </c>
      <c r="B11944" s="3" t="s">
        <v>9372</v>
      </c>
      <c r="C11944" s="3" t="s">
        <v>9889</v>
      </c>
      <c r="D11944" s="4" t="str">
        <f t="shared" ref="D11944:D11945" si="1769">HYPERLINK("https://12go.asia/en/travel/Binh-Thanh/Dalat-Railway-Station", "12Go Link")</f>
        <v>12Go Link</v>
      </c>
      <c r="E11944" s="3" t="s">
        <v>9374</v>
      </c>
      <c r="K11944" s="5"/>
    </row>
    <row r="11945">
      <c r="A11945" s="3" t="s">
        <v>9419</v>
      </c>
      <c r="B11945" s="3" t="s">
        <v>9372</v>
      </c>
      <c r="C11945" s="3" t="s">
        <v>9889</v>
      </c>
      <c r="D11945" s="4" t="str">
        <f t="shared" si="1769"/>
        <v>12Go Link</v>
      </c>
      <c r="E11945" s="3" t="s">
        <v>9412</v>
      </c>
      <c r="K11945" s="5"/>
    </row>
    <row r="11946">
      <c r="A11946" s="3" t="s">
        <v>9419</v>
      </c>
      <c r="B11946" s="3" t="s">
        <v>9372</v>
      </c>
      <c r="C11946" s="3" t="s">
        <v>9890</v>
      </c>
      <c r="D11946" s="4" t="str">
        <f t="shared" ref="D11946:D11947" si="1770">HYPERLINK("https://12go.asia/en/travel/Binh-Thanh/Pham-Hong-Thai-Street", "12Go Link")</f>
        <v>12Go Link</v>
      </c>
      <c r="E11946" s="3" t="s">
        <v>9374</v>
      </c>
      <c r="K11946" s="5"/>
    </row>
    <row r="11947">
      <c r="A11947" s="3" t="s">
        <v>9419</v>
      </c>
      <c r="B11947" s="3" t="s">
        <v>9372</v>
      </c>
      <c r="C11947" s="3" t="s">
        <v>9890</v>
      </c>
      <c r="D11947" s="4" t="str">
        <f t="shared" si="1770"/>
        <v>12Go Link</v>
      </c>
      <c r="E11947" s="3" t="s">
        <v>9412</v>
      </c>
      <c r="K11947" s="5"/>
    </row>
    <row r="11948">
      <c r="A11948" s="3" t="s">
        <v>9419</v>
      </c>
      <c r="B11948" s="3" t="s">
        <v>9372</v>
      </c>
      <c r="C11948" s="3" t="s">
        <v>9891</v>
      </c>
      <c r="D11948" s="4" t="str">
        <f>HYPERLINK("https://12go.asia/en/travel/Binh-Thanh/Tram-Hanh-Cau-Dat", "12Go Link")</f>
        <v>12Go Link</v>
      </c>
      <c r="E11948" s="3" t="s">
        <v>9374</v>
      </c>
      <c r="K11948" s="5"/>
    </row>
    <row r="11949">
      <c r="A11949" s="3" t="s">
        <v>9419</v>
      </c>
      <c r="B11949" s="3" t="s">
        <v>9372</v>
      </c>
      <c r="C11949" s="3" t="s">
        <v>9892</v>
      </c>
      <c r="D11949" s="4" t="str">
        <f t="shared" ref="D11949:D11950" si="1771">HYPERLINK("https://12go.asia/en/travel/District-10/190-Xo-Viet-Nghe-Tinh", "12Go Link")</f>
        <v>12Go Link</v>
      </c>
      <c r="E11949" s="3" t="s">
        <v>9374</v>
      </c>
      <c r="K11949" s="5"/>
    </row>
    <row r="11950">
      <c r="A11950" s="3" t="s">
        <v>9419</v>
      </c>
      <c r="B11950" s="3" t="s">
        <v>9372</v>
      </c>
      <c r="C11950" s="3" t="s">
        <v>9892</v>
      </c>
      <c r="D11950" s="4" t="str">
        <f t="shared" si="1771"/>
        <v>12Go Link</v>
      </c>
      <c r="E11950" s="3" t="s">
        <v>9412</v>
      </c>
      <c r="K11950" s="5"/>
    </row>
    <row r="11951">
      <c r="A11951" s="3" t="s">
        <v>9419</v>
      </c>
      <c r="B11951" s="3" t="s">
        <v>9372</v>
      </c>
      <c r="C11951" s="3" t="s">
        <v>9893</v>
      </c>
      <c r="D11951" s="4" t="str">
        <f t="shared" ref="D11951:D11952" si="1772">HYPERLINK("https://12go.asia/en/travel/District-10/Da-Lat-Bus-Station", "12Go Link")</f>
        <v>12Go Link</v>
      </c>
      <c r="E11951" s="3" t="s">
        <v>9374</v>
      </c>
      <c r="K11951" s="5"/>
    </row>
    <row r="11952">
      <c r="A11952" s="3" t="s">
        <v>9419</v>
      </c>
      <c r="B11952" s="3" t="s">
        <v>9372</v>
      </c>
      <c r="C11952" s="3" t="s">
        <v>9893</v>
      </c>
      <c r="D11952" s="4" t="str">
        <f t="shared" si="1772"/>
        <v>12Go Link</v>
      </c>
      <c r="E11952" s="3" t="s">
        <v>9412</v>
      </c>
      <c r="K11952" s="5"/>
    </row>
    <row r="11953">
      <c r="A11953" s="3" t="s">
        <v>9419</v>
      </c>
      <c r="B11953" s="3" t="s">
        <v>9372</v>
      </c>
      <c r="C11953" s="3" t="s">
        <v>9894</v>
      </c>
      <c r="D11953" s="4" t="str">
        <f t="shared" ref="D11953:D11954" si="1773">HYPERLINK("https://12go.asia/en/travel/District-10/Pham-Hong-Thai-Street", "12Go Link")</f>
        <v>12Go Link</v>
      </c>
      <c r="E11953" s="3" t="s">
        <v>9374</v>
      </c>
      <c r="K11953" s="5"/>
    </row>
    <row r="11954">
      <c r="A11954" s="3" t="s">
        <v>9419</v>
      </c>
      <c r="B11954" s="3" t="s">
        <v>9372</v>
      </c>
      <c r="C11954" s="3" t="s">
        <v>9894</v>
      </c>
      <c r="D11954" s="4" t="str">
        <f t="shared" si="1773"/>
        <v>12Go Link</v>
      </c>
      <c r="E11954" s="3" t="s">
        <v>9412</v>
      </c>
      <c r="K11954" s="5"/>
    </row>
    <row r="11955">
      <c r="A11955" s="3" t="s">
        <v>9419</v>
      </c>
      <c r="B11955" s="3" t="s">
        <v>9372</v>
      </c>
      <c r="C11955" s="3" t="s">
        <v>9895</v>
      </c>
      <c r="D11955" s="4" t="str">
        <f>HYPERLINK("https://12go.asia/en/travel/District-10/Tram-Hanh-Cau-Dat", "12Go Link")</f>
        <v>12Go Link</v>
      </c>
      <c r="E11955" s="3" t="s">
        <v>9374</v>
      </c>
      <c r="K11955" s="5"/>
    </row>
    <row r="11956">
      <c r="A11956" s="3" t="s">
        <v>9419</v>
      </c>
      <c r="B11956" s="3" t="s">
        <v>9372</v>
      </c>
      <c r="C11956" s="3" t="s">
        <v>9896</v>
      </c>
      <c r="D11956" s="4" t="str">
        <f t="shared" ref="D11956:D11957" si="1774">HYPERLINK("https://12go.asia/en/travel/District-5/190-Xo-Viet-Nghe-Tinh", "12Go Link")</f>
        <v>12Go Link</v>
      </c>
      <c r="E11956" s="3" t="s">
        <v>9374</v>
      </c>
      <c r="K11956" s="5"/>
    </row>
    <row r="11957">
      <c r="A11957" s="3" t="s">
        <v>9419</v>
      </c>
      <c r="B11957" s="3" t="s">
        <v>9372</v>
      </c>
      <c r="C11957" s="3" t="s">
        <v>9896</v>
      </c>
      <c r="D11957" s="4" t="str">
        <f t="shared" si="1774"/>
        <v>12Go Link</v>
      </c>
      <c r="E11957" s="3" t="s">
        <v>9412</v>
      </c>
      <c r="K11957" s="5"/>
    </row>
    <row r="11958">
      <c r="A11958" s="3" t="s">
        <v>9419</v>
      </c>
      <c r="B11958" s="3" t="s">
        <v>9372</v>
      </c>
      <c r="C11958" s="3" t="s">
        <v>9897</v>
      </c>
      <c r="D11958" s="4" t="str">
        <f t="shared" ref="D11958:D11959" si="1775">HYPERLINK("https://12go.asia/en/travel/District-5/28-Tran-Hung-Dao", "12Go Link")</f>
        <v>12Go Link</v>
      </c>
      <c r="E11958" s="3" t="s">
        <v>9374</v>
      </c>
      <c r="K11958" s="5"/>
    </row>
    <row r="11959">
      <c r="A11959" s="3" t="s">
        <v>9419</v>
      </c>
      <c r="B11959" s="3" t="s">
        <v>9372</v>
      </c>
      <c r="C11959" s="3" t="s">
        <v>9897</v>
      </c>
      <c r="D11959" s="4" t="str">
        <f t="shared" si="1775"/>
        <v>12Go Link</v>
      </c>
      <c r="E11959" s="3" t="s">
        <v>9412</v>
      </c>
      <c r="K11959" s="5"/>
    </row>
    <row r="11960">
      <c r="A11960" s="3" t="s">
        <v>9419</v>
      </c>
      <c r="B11960" s="3" t="s">
        <v>9372</v>
      </c>
      <c r="C11960" s="3" t="s">
        <v>9898</v>
      </c>
      <c r="D11960" s="4" t="str">
        <f t="shared" ref="D11960:D11961" si="1776">HYPERLINK("https://12go.asia/en/travel/District-5/Da-Lat-Bus-Station", "12Go Link")</f>
        <v>12Go Link</v>
      </c>
      <c r="E11960" s="3" t="s">
        <v>9374</v>
      </c>
      <c r="K11960" s="5"/>
    </row>
    <row r="11961">
      <c r="A11961" s="3" t="s">
        <v>9419</v>
      </c>
      <c r="B11961" s="3" t="s">
        <v>9372</v>
      </c>
      <c r="C11961" s="3" t="s">
        <v>9898</v>
      </c>
      <c r="D11961" s="4" t="str">
        <f t="shared" si="1776"/>
        <v>12Go Link</v>
      </c>
      <c r="E11961" s="3" t="s">
        <v>9412</v>
      </c>
      <c r="K11961" s="5"/>
    </row>
    <row r="11962">
      <c r="A11962" s="3" t="s">
        <v>9419</v>
      </c>
      <c r="B11962" s="3" t="s">
        <v>9372</v>
      </c>
      <c r="C11962" s="3" t="s">
        <v>9899</v>
      </c>
      <c r="D11962" s="4" t="str">
        <f t="shared" ref="D11962:D11963" si="1777">HYPERLINK("https://12go.asia/en/travel/District-5/Dalat-Railway-Station", "12Go Link")</f>
        <v>12Go Link</v>
      </c>
      <c r="E11962" s="3" t="s">
        <v>9374</v>
      </c>
      <c r="K11962" s="5"/>
    </row>
    <row r="11963">
      <c r="A11963" s="3" t="s">
        <v>9419</v>
      </c>
      <c r="B11963" s="3" t="s">
        <v>9372</v>
      </c>
      <c r="C11963" s="3" t="s">
        <v>9899</v>
      </c>
      <c r="D11963" s="4" t="str">
        <f t="shared" si="1777"/>
        <v>12Go Link</v>
      </c>
      <c r="E11963" s="3" t="s">
        <v>9412</v>
      </c>
      <c r="K11963" s="5"/>
    </row>
    <row r="11964">
      <c r="A11964" s="3" t="s">
        <v>9419</v>
      </c>
      <c r="B11964" s="3" t="s">
        <v>9372</v>
      </c>
      <c r="C11964" s="3" t="s">
        <v>9900</v>
      </c>
      <c r="D11964" s="4" t="str">
        <f t="shared" ref="D11964:D11965" si="1778">HYPERLINK("https://12go.asia/en/travel/District-5/Pham-Hong-Thai-Street", "12Go Link")</f>
        <v>12Go Link</v>
      </c>
      <c r="E11964" s="3" t="s">
        <v>9374</v>
      </c>
      <c r="K11964" s="5"/>
    </row>
    <row r="11965">
      <c r="A11965" s="3" t="s">
        <v>9419</v>
      </c>
      <c r="B11965" s="3" t="s">
        <v>9372</v>
      </c>
      <c r="C11965" s="3" t="s">
        <v>9900</v>
      </c>
      <c r="D11965" s="4" t="str">
        <f t="shared" si="1778"/>
        <v>12Go Link</v>
      </c>
      <c r="E11965" s="3" t="s">
        <v>9412</v>
      </c>
      <c r="K11965" s="5"/>
    </row>
    <row r="11966">
      <c r="A11966" s="3" t="s">
        <v>9419</v>
      </c>
      <c r="B11966" s="3" t="s">
        <v>9372</v>
      </c>
      <c r="C11966" s="3" t="s">
        <v>9901</v>
      </c>
      <c r="D11966" s="4" t="str">
        <f>HYPERLINK("https://12go.asia/en/travel/District-5/Tram-Hanh-Cau-Dat", "12Go Link")</f>
        <v>12Go Link</v>
      </c>
      <c r="E11966" s="3" t="s">
        <v>9374</v>
      </c>
      <c r="K11966" s="5"/>
    </row>
    <row r="11967">
      <c r="A11967" s="3" t="s">
        <v>9419</v>
      </c>
      <c r="B11967" s="3" t="s">
        <v>9372</v>
      </c>
      <c r="C11967" s="3" t="s">
        <v>9902</v>
      </c>
      <c r="D11967" s="4" t="str">
        <f t="shared" ref="D11967:D11972" si="1779">HYPERLINK("https://12go.asia/en/travel/Ho-Chi-Minh/Da-Lat", "12Go Link")</f>
        <v>12Go Link</v>
      </c>
      <c r="E11967" s="3" t="s">
        <v>9428</v>
      </c>
      <c r="K11967" s="5"/>
    </row>
    <row r="11968">
      <c r="A11968" s="3" t="s">
        <v>9419</v>
      </c>
      <c r="B11968" s="3" t="s">
        <v>9372</v>
      </c>
      <c r="C11968" s="3" t="s">
        <v>9902</v>
      </c>
      <c r="D11968" s="4" t="str">
        <f t="shared" si="1779"/>
        <v>12Go Link</v>
      </c>
      <c r="E11968" s="3" t="s">
        <v>222</v>
      </c>
      <c r="K11968" s="5"/>
    </row>
    <row r="11969">
      <c r="A11969" s="3" t="s">
        <v>9419</v>
      </c>
      <c r="B11969" s="3" t="s">
        <v>9372</v>
      </c>
      <c r="C11969" s="3" t="s">
        <v>9902</v>
      </c>
      <c r="D11969" s="4" t="str">
        <f t="shared" si="1779"/>
        <v>12Go Link</v>
      </c>
      <c r="E11969" s="3" t="s">
        <v>6599</v>
      </c>
      <c r="K11969" s="5"/>
    </row>
    <row r="11970">
      <c r="A11970" s="3" t="s">
        <v>9419</v>
      </c>
      <c r="B11970" s="3" t="s">
        <v>9372</v>
      </c>
      <c r="C11970" s="3" t="s">
        <v>9902</v>
      </c>
      <c r="D11970" s="4" t="str">
        <f t="shared" si="1779"/>
        <v>12Go Link</v>
      </c>
      <c r="E11970" s="3" t="s">
        <v>9395</v>
      </c>
      <c r="K11970" s="5"/>
    </row>
    <row r="11971">
      <c r="A11971" s="3" t="s">
        <v>9419</v>
      </c>
      <c r="B11971" s="3" t="s">
        <v>9372</v>
      </c>
      <c r="C11971" s="3" t="s">
        <v>9902</v>
      </c>
      <c r="D11971" s="4" t="str">
        <f t="shared" si="1779"/>
        <v>12Go Link</v>
      </c>
      <c r="E11971" s="3" t="s">
        <v>9396</v>
      </c>
      <c r="K11971" s="5"/>
    </row>
    <row r="11972">
      <c r="A11972" s="3" t="s">
        <v>9419</v>
      </c>
      <c r="B11972" s="3" t="s">
        <v>9372</v>
      </c>
      <c r="C11972" s="3" t="s">
        <v>9902</v>
      </c>
      <c r="D11972" s="4" t="str">
        <f t="shared" si="1779"/>
        <v>12Go Link</v>
      </c>
      <c r="E11972" s="3" t="s">
        <v>7470</v>
      </c>
      <c r="K11972" s="5"/>
    </row>
    <row r="11973">
      <c r="A11973" s="3" t="s">
        <v>9419</v>
      </c>
      <c r="B11973" s="3" t="s">
        <v>9372</v>
      </c>
      <c r="C11973" s="3" t="s">
        <v>9903</v>
      </c>
      <c r="D11973" s="4" t="str">
        <f t="shared" ref="D11973:D11977" si="1780">HYPERLINK("https://12go.asia/en/travel/Ho-Chi-Minh-City-Airport/Da-Lat", "12Go Link")</f>
        <v>12Go Link</v>
      </c>
      <c r="E11973" s="3" t="s">
        <v>222</v>
      </c>
      <c r="K11973" s="5"/>
    </row>
    <row r="11974">
      <c r="A11974" s="3" t="s">
        <v>9419</v>
      </c>
      <c r="B11974" s="3" t="s">
        <v>9372</v>
      </c>
      <c r="C11974" s="3" t="s">
        <v>9903</v>
      </c>
      <c r="D11974" s="4" t="str">
        <f t="shared" si="1780"/>
        <v>12Go Link</v>
      </c>
      <c r="E11974" s="3" t="s">
        <v>6599</v>
      </c>
      <c r="K11974" s="5"/>
    </row>
    <row r="11975">
      <c r="A11975" s="3" t="s">
        <v>9419</v>
      </c>
      <c r="B11975" s="3" t="s">
        <v>9372</v>
      </c>
      <c r="C11975" s="3" t="s">
        <v>9903</v>
      </c>
      <c r="D11975" s="4" t="str">
        <f t="shared" si="1780"/>
        <v>12Go Link</v>
      </c>
      <c r="E11975" s="3" t="s">
        <v>9395</v>
      </c>
      <c r="K11975" s="5"/>
    </row>
    <row r="11976">
      <c r="A11976" s="3" t="s">
        <v>9419</v>
      </c>
      <c r="B11976" s="3" t="s">
        <v>9372</v>
      </c>
      <c r="C11976" s="3" t="s">
        <v>9903</v>
      </c>
      <c r="D11976" s="4" t="str">
        <f t="shared" si="1780"/>
        <v>12Go Link</v>
      </c>
      <c r="E11976" s="3" t="s">
        <v>9396</v>
      </c>
      <c r="K11976" s="5"/>
    </row>
    <row r="11977">
      <c r="A11977" s="3" t="s">
        <v>9419</v>
      </c>
      <c r="B11977" s="3" t="s">
        <v>9372</v>
      </c>
      <c r="C11977" s="3" t="s">
        <v>9903</v>
      </c>
      <c r="D11977" s="4" t="str">
        <f t="shared" si="1780"/>
        <v>12Go Link</v>
      </c>
      <c r="E11977" s="3" t="s">
        <v>7470</v>
      </c>
      <c r="K11977" s="5"/>
    </row>
    <row r="11978">
      <c r="A11978" s="3" t="s">
        <v>9419</v>
      </c>
      <c r="B11978" s="3" t="s">
        <v>9372</v>
      </c>
      <c r="C11978" s="3" t="s">
        <v>9904</v>
      </c>
      <c r="D11978" s="4" t="str">
        <f>HYPERLINK("https://12go.asia/en/travel/Mien-Tay-Office/Da-Lat-Bus-Station", "12Go Link")</f>
        <v>12Go Link</v>
      </c>
      <c r="E11978" s="3" t="s">
        <v>9415</v>
      </c>
      <c r="K11978" s="5"/>
    </row>
    <row r="11979">
      <c r="A11979" s="3" t="s">
        <v>9419</v>
      </c>
      <c r="B11979" s="3" t="s">
        <v>9372</v>
      </c>
      <c r="C11979" s="3" t="s">
        <v>9905</v>
      </c>
      <c r="D11979" s="4" t="str">
        <f t="shared" ref="D11979:D11980" si="1781">HYPERLINK("https://12go.asia/en/travel/Suoi-Tien/190-Xo-Viet-Nghe-Tinh", "12Go Link")</f>
        <v>12Go Link</v>
      </c>
      <c r="E11979" s="3" t="s">
        <v>9374</v>
      </c>
      <c r="K11979" s="5"/>
    </row>
    <row r="11980">
      <c r="A11980" s="3" t="s">
        <v>9419</v>
      </c>
      <c r="B11980" s="3" t="s">
        <v>9372</v>
      </c>
      <c r="C11980" s="3" t="s">
        <v>9905</v>
      </c>
      <c r="D11980" s="4" t="str">
        <f t="shared" si="1781"/>
        <v>12Go Link</v>
      </c>
      <c r="E11980" s="3" t="s">
        <v>9412</v>
      </c>
      <c r="K11980" s="5"/>
    </row>
    <row r="11981">
      <c r="A11981" s="3" t="s">
        <v>9419</v>
      </c>
      <c r="B11981" s="3" t="s">
        <v>9372</v>
      </c>
      <c r="C11981" s="3" t="s">
        <v>9906</v>
      </c>
      <c r="D11981" s="4" t="str">
        <f t="shared" ref="D11981:D11982" si="1782">HYPERLINK("https://12go.asia/en/travel/Suoi-Tien/28-Tran-Hung-Dao", "12Go Link")</f>
        <v>12Go Link</v>
      </c>
      <c r="E11981" s="3" t="s">
        <v>9374</v>
      </c>
      <c r="K11981" s="5"/>
    </row>
    <row r="11982">
      <c r="A11982" s="3" t="s">
        <v>9419</v>
      </c>
      <c r="B11982" s="3" t="s">
        <v>9372</v>
      </c>
      <c r="C11982" s="3" t="s">
        <v>9906</v>
      </c>
      <c r="D11982" s="4" t="str">
        <f t="shared" si="1782"/>
        <v>12Go Link</v>
      </c>
      <c r="E11982" s="3" t="s">
        <v>9412</v>
      </c>
      <c r="K11982" s="5"/>
    </row>
    <row r="11983">
      <c r="A11983" s="3" t="s">
        <v>9419</v>
      </c>
      <c r="B11983" s="3" t="s">
        <v>9372</v>
      </c>
      <c r="C11983" s="3" t="s">
        <v>9907</v>
      </c>
      <c r="D11983" s="4" t="str">
        <f t="shared" ref="D11983:D11984" si="1783">HYPERLINK("https://12go.asia/en/travel/Suoi-Tien/Da-Lat-Bus-Station", "12Go Link")</f>
        <v>12Go Link</v>
      </c>
      <c r="E11983" s="3" t="s">
        <v>9374</v>
      </c>
      <c r="K11983" s="5"/>
    </row>
    <row r="11984">
      <c r="A11984" s="3" t="s">
        <v>9419</v>
      </c>
      <c r="B11984" s="3" t="s">
        <v>9372</v>
      </c>
      <c r="C11984" s="3" t="s">
        <v>9907</v>
      </c>
      <c r="D11984" s="4" t="str">
        <f t="shared" si="1783"/>
        <v>12Go Link</v>
      </c>
      <c r="E11984" s="3" t="s">
        <v>9412</v>
      </c>
      <c r="K11984" s="5"/>
    </row>
    <row r="11985">
      <c r="A11985" s="3" t="s">
        <v>9419</v>
      </c>
      <c r="B11985" s="3" t="s">
        <v>9372</v>
      </c>
      <c r="C11985" s="3" t="s">
        <v>9908</v>
      </c>
      <c r="D11985" s="4" t="str">
        <f t="shared" ref="D11985:D11986" si="1784">HYPERLINK("https://12go.asia/en/travel/Suoi-Tien/Dalat-Railway-Station", "12Go Link")</f>
        <v>12Go Link</v>
      </c>
      <c r="E11985" s="3" t="s">
        <v>9374</v>
      </c>
      <c r="K11985" s="5"/>
    </row>
    <row r="11986">
      <c r="A11986" s="3" t="s">
        <v>9419</v>
      </c>
      <c r="B11986" s="3" t="s">
        <v>9372</v>
      </c>
      <c r="C11986" s="3" t="s">
        <v>9908</v>
      </c>
      <c r="D11986" s="4" t="str">
        <f t="shared" si="1784"/>
        <v>12Go Link</v>
      </c>
      <c r="E11986" s="3" t="s">
        <v>9412</v>
      </c>
      <c r="K11986" s="5"/>
    </row>
    <row r="11987">
      <c r="A11987" s="3" t="s">
        <v>9419</v>
      </c>
      <c r="B11987" s="3" t="s">
        <v>9372</v>
      </c>
      <c r="C11987" s="3" t="s">
        <v>9909</v>
      </c>
      <c r="D11987" s="4" t="str">
        <f t="shared" ref="D11987:D11988" si="1785">HYPERLINK("https://12go.asia/en/travel/Suoi-Tien/Pham-Hong-Thai-Street", "12Go Link")</f>
        <v>12Go Link</v>
      </c>
      <c r="E11987" s="3" t="s">
        <v>9374</v>
      </c>
      <c r="K11987" s="5"/>
    </row>
    <row r="11988">
      <c r="A11988" s="3" t="s">
        <v>9419</v>
      </c>
      <c r="B11988" s="3" t="s">
        <v>9372</v>
      </c>
      <c r="C11988" s="3" t="s">
        <v>9909</v>
      </c>
      <c r="D11988" s="4" t="str">
        <f t="shared" si="1785"/>
        <v>12Go Link</v>
      </c>
      <c r="E11988" s="3" t="s">
        <v>9412</v>
      </c>
      <c r="K11988" s="5"/>
    </row>
    <row r="11989">
      <c r="A11989" s="3" t="s">
        <v>9419</v>
      </c>
      <c r="B11989" s="3" t="s">
        <v>9372</v>
      </c>
      <c r="C11989" s="3" t="s">
        <v>9910</v>
      </c>
      <c r="D11989" s="4" t="str">
        <f>HYPERLINK("https://12go.asia/en/travel/Suoi-Tien/Tram-Hanh-Cau-Dat", "12Go Link")</f>
        <v>12Go Link</v>
      </c>
      <c r="E11989" s="3" t="s">
        <v>9374</v>
      </c>
      <c r="K11989" s="5"/>
    </row>
    <row r="11990">
      <c r="A11990" s="3" t="s">
        <v>9419</v>
      </c>
      <c r="B11990" s="3" t="s">
        <v>9372</v>
      </c>
      <c r="C11990" s="3" t="s">
        <v>9911</v>
      </c>
      <c r="D11990" s="4" t="str">
        <f t="shared" ref="D11990:D11991" si="1786">HYPERLINK("https://12go.asia/en/travel/Tan-Binh/190-Xo-Viet-Nghe-Tinh", "12Go Link")</f>
        <v>12Go Link</v>
      </c>
      <c r="E11990" s="3" t="s">
        <v>9374</v>
      </c>
      <c r="K11990" s="5"/>
    </row>
    <row r="11991">
      <c r="A11991" s="3" t="s">
        <v>9419</v>
      </c>
      <c r="B11991" s="3" t="s">
        <v>9372</v>
      </c>
      <c r="C11991" s="3" t="s">
        <v>9911</v>
      </c>
      <c r="D11991" s="4" t="str">
        <f t="shared" si="1786"/>
        <v>12Go Link</v>
      </c>
      <c r="E11991" s="3" t="s">
        <v>9412</v>
      </c>
      <c r="K11991" s="5"/>
    </row>
    <row r="11992">
      <c r="A11992" s="3" t="s">
        <v>9419</v>
      </c>
      <c r="B11992" s="3" t="s">
        <v>9372</v>
      </c>
      <c r="C11992" s="3" t="s">
        <v>9912</v>
      </c>
      <c r="D11992" s="4" t="str">
        <f t="shared" ref="D11992:D11993" si="1787">HYPERLINK("https://12go.asia/en/travel/Tan-Binh/28-Tran-Hung-Dao", "12Go Link")</f>
        <v>12Go Link</v>
      </c>
      <c r="E11992" s="3" t="s">
        <v>9374</v>
      </c>
      <c r="K11992" s="5"/>
    </row>
    <row r="11993">
      <c r="A11993" s="3" t="s">
        <v>9419</v>
      </c>
      <c r="B11993" s="3" t="s">
        <v>9372</v>
      </c>
      <c r="C11993" s="3" t="s">
        <v>9912</v>
      </c>
      <c r="D11993" s="4" t="str">
        <f t="shared" si="1787"/>
        <v>12Go Link</v>
      </c>
      <c r="E11993" s="3" t="s">
        <v>9412</v>
      </c>
      <c r="K11993" s="5"/>
    </row>
    <row r="11994">
      <c r="A11994" s="3" t="s">
        <v>9419</v>
      </c>
      <c r="B11994" s="3" t="s">
        <v>9372</v>
      </c>
      <c r="C11994" s="3" t="s">
        <v>9913</v>
      </c>
      <c r="D11994" s="4" t="str">
        <f t="shared" ref="D11994:D11995" si="1788">HYPERLINK("https://12go.asia/en/travel/Tan-Binh/Da-Lat-Bus-Station", "12Go Link")</f>
        <v>12Go Link</v>
      </c>
      <c r="E11994" s="3" t="s">
        <v>9374</v>
      </c>
      <c r="K11994" s="5"/>
    </row>
    <row r="11995">
      <c r="A11995" s="3" t="s">
        <v>9419</v>
      </c>
      <c r="B11995" s="3" t="s">
        <v>9372</v>
      </c>
      <c r="C11995" s="3" t="s">
        <v>9913</v>
      </c>
      <c r="D11995" s="4" t="str">
        <f t="shared" si="1788"/>
        <v>12Go Link</v>
      </c>
      <c r="E11995" s="3" t="s">
        <v>9412</v>
      </c>
      <c r="K11995" s="5"/>
    </row>
    <row r="11996">
      <c r="A11996" s="3" t="s">
        <v>9419</v>
      </c>
      <c r="B11996" s="3" t="s">
        <v>9372</v>
      </c>
      <c r="C11996" s="3" t="s">
        <v>9914</v>
      </c>
      <c r="D11996" s="4" t="str">
        <f t="shared" ref="D11996:D11997" si="1789">HYPERLINK("https://12go.asia/en/travel/Tan-Binh/Dalat-Railway-Station", "12Go Link")</f>
        <v>12Go Link</v>
      </c>
      <c r="E11996" s="3" t="s">
        <v>9374</v>
      </c>
      <c r="K11996" s="5"/>
    </row>
    <row r="11997">
      <c r="A11997" s="3" t="s">
        <v>9419</v>
      </c>
      <c r="B11997" s="3" t="s">
        <v>9372</v>
      </c>
      <c r="C11997" s="3" t="s">
        <v>9914</v>
      </c>
      <c r="D11997" s="4" t="str">
        <f t="shared" si="1789"/>
        <v>12Go Link</v>
      </c>
      <c r="E11997" s="3" t="s">
        <v>9412</v>
      </c>
      <c r="K11997" s="5"/>
    </row>
    <row r="11998">
      <c r="A11998" s="3" t="s">
        <v>9419</v>
      </c>
      <c r="B11998" s="3" t="s">
        <v>9372</v>
      </c>
      <c r="C11998" s="3" t="s">
        <v>9915</v>
      </c>
      <c r="D11998" s="4" t="str">
        <f t="shared" ref="D11998:D11999" si="1790">HYPERLINK("https://12go.asia/en/travel/Tan-Binh/Pham-Hong-Thai-Street", "12Go Link")</f>
        <v>12Go Link</v>
      </c>
      <c r="E11998" s="3" t="s">
        <v>9374</v>
      </c>
      <c r="K11998" s="5"/>
    </row>
    <row r="11999">
      <c r="A11999" s="3" t="s">
        <v>9419</v>
      </c>
      <c r="B11999" s="3" t="s">
        <v>9372</v>
      </c>
      <c r="C11999" s="3" t="s">
        <v>9915</v>
      </c>
      <c r="D11999" s="4" t="str">
        <f t="shared" si="1790"/>
        <v>12Go Link</v>
      </c>
      <c r="E11999" s="3" t="s">
        <v>9412</v>
      </c>
      <c r="K11999" s="5"/>
    </row>
    <row r="12000">
      <c r="A12000" s="3" t="s">
        <v>9419</v>
      </c>
      <c r="B12000" s="3" t="s">
        <v>9372</v>
      </c>
      <c r="C12000" s="3" t="s">
        <v>9916</v>
      </c>
      <c r="D12000" s="4" t="str">
        <f>HYPERLINK("https://12go.asia/en/travel/Tan-Binh/Tram-Hanh-Cau-Dat", "12Go Link")</f>
        <v>12Go Link</v>
      </c>
      <c r="E12000" s="3" t="s">
        <v>9374</v>
      </c>
      <c r="K12000" s="5"/>
    </row>
    <row r="12001">
      <c r="A12001" s="3" t="s">
        <v>9419</v>
      </c>
      <c r="B12001" s="3" t="s">
        <v>9447</v>
      </c>
      <c r="C12001" s="3" t="s">
        <v>9917</v>
      </c>
      <c r="D12001" s="4" t="str">
        <f>HYPERLINK("https://12go.asia/en/travel/273-Pham-Ngu-Lao/Da-Nang-Hanh-Cafe-Office", "12Go Link")</f>
        <v>12Go Link</v>
      </c>
      <c r="E12001" s="3" t="s">
        <v>9538</v>
      </c>
      <c r="K12001" s="5"/>
    </row>
    <row r="12002">
      <c r="A12002" s="3" t="s">
        <v>9419</v>
      </c>
      <c r="B12002" s="3" t="s">
        <v>9447</v>
      </c>
      <c r="C12002" s="3" t="s">
        <v>9918</v>
      </c>
      <c r="D12002" s="4" t="str">
        <f>HYPERLINK("https://12go.asia/en/travel/An-Suong-Bus-Station/70-Hoang-Van-Thai", "12Go Link")</f>
        <v>12Go Link</v>
      </c>
      <c r="E12002" s="3" t="s">
        <v>9530</v>
      </c>
      <c r="K12002" s="5"/>
    </row>
    <row r="12003">
      <c r="A12003" s="3" t="s">
        <v>9419</v>
      </c>
      <c r="B12003" s="3" t="s">
        <v>9410</v>
      </c>
      <c r="C12003" s="3" t="s">
        <v>9919</v>
      </c>
      <c r="D12003" s="4" t="str">
        <f t="shared" ref="D12003:D12007" si="1791">HYPERLINK("https://12go.asia/en/travel/Ho-Chi-Minh/Bien-Hoa", "12Go Link")</f>
        <v>12Go Link</v>
      </c>
      <c r="E12003" s="3" t="s">
        <v>222</v>
      </c>
      <c r="K12003" s="5"/>
    </row>
    <row r="12004">
      <c r="A12004" s="3" t="s">
        <v>9419</v>
      </c>
      <c r="B12004" s="3" t="s">
        <v>9410</v>
      </c>
      <c r="C12004" s="3" t="s">
        <v>9919</v>
      </c>
      <c r="D12004" s="4" t="str">
        <f t="shared" si="1791"/>
        <v>12Go Link</v>
      </c>
      <c r="E12004" s="3" t="s">
        <v>6599</v>
      </c>
      <c r="K12004" s="5"/>
    </row>
    <row r="12005">
      <c r="A12005" s="3" t="s">
        <v>9419</v>
      </c>
      <c r="B12005" s="3" t="s">
        <v>9410</v>
      </c>
      <c r="C12005" s="3" t="s">
        <v>9919</v>
      </c>
      <c r="D12005" s="4" t="str">
        <f t="shared" si="1791"/>
        <v>12Go Link</v>
      </c>
      <c r="E12005" s="3" t="s">
        <v>9395</v>
      </c>
      <c r="K12005" s="5"/>
    </row>
    <row r="12006">
      <c r="A12006" s="3" t="s">
        <v>9419</v>
      </c>
      <c r="B12006" s="3" t="s">
        <v>9410</v>
      </c>
      <c r="C12006" s="3" t="s">
        <v>9919</v>
      </c>
      <c r="D12006" s="4" t="str">
        <f t="shared" si="1791"/>
        <v>12Go Link</v>
      </c>
      <c r="E12006" s="3" t="s">
        <v>9396</v>
      </c>
      <c r="K12006" s="5"/>
    </row>
    <row r="12007">
      <c r="A12007" s="3" t="s">
        <v>9419</v>
      </c>
      <c r="B12007" s="3" t="s">
        <v>9410</v>
      </c>
      <c r="C12007" s="3" t="s">
        <v>9919</v>
      </c>
      <c r="D12007" s="4" t="str">
        <f t="shared" si="1791"/>
        <v>12Go Link</v>
      </c>
      <c r="E12007" s="3" t="s">
        <v>7470</v>
      </c>
      <c r="K12007" s="5"/>
    </row>
    <row r="12008">
      <c r="A12008" s="3" t="s">
        <v>9419</v>
      </c>
      <c r="B12008" s="3" t="s">
        <v>9410</v>
      </c>
      <c r="C12008" s="3" t="s">
        <v>9920</v>
      </c>
      <c r="D12008" s="4" t="str">
        <f t="shared" ref="D12008:D12012" si="1792">HYPERLINK("https://12go.asia/en/travel/Ho-Chi-Minh/Nam-Cat-Tien-Park", "12Go Link")</f>
        <v>12Go Link</v>
      </c>
      <c r="E12008" s="3" t="s">
        <v>222</v>
      </c>
      <c r="K12008" s="5"/>
    </row>
    <row r="12009">
      <c r="A12009" s="3" t="s">
        <v>9419</v>
      </c>
      <c r="B12009" s="3" t="s">
        <v>9410</v>
      </c>
      <c r="C12009" s="3" t="s">
        <v>9920</v>
      </c>
      <c r="D12009" s="4" t="str">
        <f t="shared" si="1792"/>
        <v>12Go Link</v>
      </c>
      <c r="E12009" s="3" t="s">
        <v>6599</v>
      </c>
      <c r="K12009" s="5"/>
    </row>
    <row r="12010">
      <c r="A12010" s="3" t="s">
        <v>9419</v>
      </c>
      <c r="B12010" s="3" t="s">
        <v>9410</v>
      </c>
      <c r="C12010" s="3" t="s">
        <v>9920</v>
      </c>
      <c r="D12010" s="4" t="str">
        <f t="shared" si="1792"/>
        <v>12Go Link</v>
      </c>
      <c r="E12010" s="3" t="s">
        <v>9395</v>
      </c>
      <c r="K12010" s="5"/>
    </row>
    <row r="12011">
      <c r="A12011" s="3" t="s">
        <v>9419</v>
      </c>
      <c r="B12011" s="3" t="s">
        <v>9410</v>
      </c>
      <c r="C12011" s="3" t="s">
        <v>9920</v>
      </c>
      <c r="D12011" s="4" t="str">
        <f t="shared" si="1792"/>
        <v>12Go Link</v>
      </c>
      <c r="E12011" s="3" t="s">
        <v>9396</v>
      </c>
      <c r="K12011" s="5"/>
    </row>
    <row r="12012">
      <c r="A12012" s="3" t="s">
        <v>9419</v>
      </c>
      <c r="B12012" s="3" t="s">
        <v>9410</v>
      </c>
      <c r="C12012" s="3" t="s">
        <v>9920</v>
      </c>
      <c r="D12012" s="4" t="str">
        <f t="shared" si="1792"/>
        <v>12Go Link</v>
      </c>
      <c r="E12012" s="3" t="s">
        <v>7470</v>
      </c>
      <c r="K12012" s="5"/>
    </row>
    <row r="12013">
      <c r="A12013" s="3" t="s">
        <v>9419</v>
      </c>
      <c r="B12013" s="3" t="s">
        <v>9410</v>
      </c>
      <c r="C12013" s="3" t="s">
        <v>9921</v>
      </c>
      <c r="D12013" s="4" t="str">
        <f t="shared" ref="D12013:D12017" si="1793">HYPERLINK("https://12go.asia/en/travel/Ho-Chi-Minh-City-Airport/Bien-Hoa", "12Go Link")</f>
        <v>12Go Link</v>
      </c>
      <c r="E12013" s="3" t="s">
        <v>222</v>
      </c>
      <c r="K12013" s="5"/>
    </row>
    <row r="12014">
      <c r="A12014" s="3" t="s">
        <v>9419</v>
      </c>
      <c r="B12014" s="3" t="s">
        <v>9410</v>
      </c>
      <c r="C12014" s="3" t="s">
        <v>9921</v>
      </c>
      <c r="D12014" s="4" t="str">
        <f t="shared" si="1793"/>
        <v>12Go Link</v>
      </c>
      <c r="E12014" s="3" t="s">
        <v>6599</v>
      </c>
      <c r="K12014" s="5"/>
    </row>
    <row r="12015">
      <c r="A12015" s="3" t="s">
        <v>9419</v>
      </c>
      <c r="B12015" s="3" t="s">
        <v>9410</v>
      </c>
      <c r="C12015" s="3" t="s">
        <v>9921</v>
      </c>
      <c r="D12015" s="4" t="str">
        <f t="shared" si="1793"/>
        <v>12Go Link</v>
      </c>
      <c r="E12015" s="3" t="s">
        <v>9395</v>
      </c>
      <c r="K12015" s="5"/>
    </row>
    <row r="12016">
      <c r="A12016" s="3" t="s">
        <v>9419</v>
      </c>
      <c r="B12016" s="3" t="s">
        <v>9410</v>
      </c>
      <c r="C12016" s="3" t="s">
        <v>9921</v>
      </c>
      <c r="D12016" s="4" t="str">
        <f t="shared" si="1793"/>
        <v>12Go Link</v>
      </c>
      <c r="E12016" s="3" t="s">
        <v>9396</v>
      </c>
      <c r="K12016" s="5"/>
    </row>
    <row r="12017">
      <c r="A12017" s="3" t="s">
        <v>9419</v>
      </c>
      <c r="B12017" s="3" t="s">
        <v>9410</v>
      </c>
      <c r="C12017" s="3" t="s">
        <v>9921</v>
      </c>
      <c r="D12017" s="4" t="str">
        <f t="shared" si="1793"/>
        <v>12Go Link</v>
      </c>
      <c r="E12017" s="3" t="s">
        <v>7470</v>
      </c>
      <c r="K12017" s="5"/>
    </row>
    <row r="12018">
      <c r="A12018" s="3" t="s">
        <v>9419</v>
      </c>
      <c r="B12018" s="3" t="s">
        <v>9410</v>
      </c>
      <c r="C12018" s="3" t="s">
        <v>9922</v>
      </c>
      <c r="D12018" s="4" t="str">
        <f t="shared" ref="D12018:D12022" si="1794">HYPERLINK("https://12go.asia/en/travel/Ho-Chi-Minh-City-Airport/Nam-Cat-Tien-Park", "12Go Link")</f>
        <v>12Go Link</v>
      </c>
      <c r="E12018" s="3" t="s">
        <v>222</v>
      </c>
      <c r="K12018" s="5"/>
    </row>
    <row r="12019">
      <c r="A12019" s="3" t="s">
        <v>9419</v>
      </c>
      <c r="B12019" s="3" t="s">
        <v>9410</v>
      </c>
      <c r="C12019" s="3" t="s">
        <v>9922</v>
      </c>
      <c r="D12019" s="4" t="str">
        <f t="shared" si="1794"/>
        <v>12Go Link</v>
      </c>
      <c r="E12019" s="3" t="s">
        <v>6599</v>
      </c>
      <c r="K12019" s="5"/>
    </row>
    <row r="12020">
      <c r="A12020" s="3" t="s">
        <v>9419</v>
      </c>
      <c r="B12020" s="3" t="s">
        <v>9410</v>
      </c>
      <c r="C12020" s="3" t="s">
        <v>9922</v>
      </c>
      <c r="D12020" s="4" t="str">
        <f t="shared" si="1794"/>
        <v>12Go Link</v>
      </c>
      <c r="E12020" s="3" t="s">
        <v>9395</v>
      </c>
      <c r="K12020" s="5"/>
    </row>
    <row r="12021">
      <c r="A12021" s="3" t="s">
        <v>9419</v>
      </c>
      <c r="B12021" s="3" t="s">
        <v>9410</v>
      </c>
      <c r="C12021" s="3" t="s">
        <v>9922</v>
      </c>
      <c r="D12021" s="4" t="str">
        <f t="shared" si="1794"/>
        <v>12Go Link</v>
      </c>
      <c r="E12021" s="3" t="s">
        <v>9396</v>
      </c>
      <c r="K12021" s="5"/>
    </row>
    <row r="12022">
      <c r="A12022" s="3" t="s">
        <v>9419</v>
      </c>
      <c r="B12022" s="3" t="s">
        <v>9410</v>
      </c>
      <c r="C12022" s="3" t="s">
        <v>9922</v>
      </c>
      <c r="D12022" s="4" t="str">
        <f t="shared" si="1794"/>
        <v>12Go Link</v>
      </c>
      <c r="E12022" s="3" t="s">
        <v>7470</v>
      </c>
      <c r="K12022" s="5"/>
    </row>
    <row r="12023">
      <c r="A12023" s="3" t="s">
        <v>9419</v>
      </c>
      <c r="B12023" s="3" t="s">
        <v>9419</v>
      </c>
      <c r="C12023" s="3" t="s">
        <v>9923</v>
      </c>
      <c r="D12023" s="4" t="str">
        <f t="shared" ref="D12023:D12027" si="1795">HYPERLINK("https://12go.asia/en/travel/Ho-Chi-Minh/Ho-Chi-Minh-City-Center", "12Go Link")</f>
        <v>12Go Link</v>
      </c>
      <c r="E12023" s="3" t="s">
        <v>222</v>
      </c>
      <c r="K12023" s="5"/>
    </row>
    <row r="12024">
      <c r="A12024" s="3" t="s">
        <v>9419</v>
      </c>
      <c r="B12024" s="3" t="s">
        <v>9419</v>
      </c>
      <c r="C12024" s="3" t="s">
        <v>9923</v>
      </c>
      <c r="D12024" s="4" t="str">
        <f t="shared" si="1795"/>
        <v>12Go Link</v>
      </c>
      <c r="E12024" s="3" t="s">
        <v>6599</v>
      </c>
      <c r="K12024" s="5"/>
    </row>
    <row r="12025">
      <c r="A12025" s="3" t="s">
        <v>9419</v>
      </c>
      <c r="B12025" s="3" t="s">
        <v>9419</v>
      </c>
      <c r="C12025" s="3" t="s">
        <v>9923</v>
      </c>
      <c r="D12025" s="4" t="str">
        <f t="shared" si="1795"/>
        <v>12Go Link</v>
      </c>
      <c r="E12025" s="3" t="s">
        <v>9395</v>
      </c>
      <c r="K12025" s="5"/>
    </row>
    <row r="12026">
      <c r="A12026" s="3" t="s">
        <v>9419</v>
      </c>
      <c r="B12026" s="3" t="s">
        <v>9419</v>
      </c>
      <c r="C12026" s="3" t="s">
        <v>9923</v>
      </c>
      <c r="D12026" s="4" t="str">
        <f t="shared" si="1795"/>
        <v>12Go Link</v>
      </c>
      <c r="E12026" s="3" t="s">
        <v>9396</v>
      </c>
      <c r="K12026" s="5"/>
    </row>
    <row r="12027">
      <c r="A12027" s="3" t="s">
        <v>9419</v>
      </c>
      <c r="B12027" s="3" t="s">
        <v>9419</v>
      </c>
      <c r="C12027" s="3" t="s">
        <v>9923</v>
      </c>
      <c r="D12027" s="4" t="str">
        <f t="shared" si="1795"/>
        <v>12Go Link</v>
      </c>
      <c r="E12027" s="3" t="s">
        <v>7470</v>
      </c>
      <c r="K12027" s="5"/>
    </row>
    <row r="12028">
      <c r="A12028" s="3" t="s">
        <v>9419</v>
      </c>
      <c r="B12028" s="3" t="s">
        <v>9419</v>
      </c>
      <c r="C12028" s="3" t="s">
        <v>9924</v>
      </c>
      <c r="D12028" s="4" t="str">
        <f t="shared" ref="D12028:D12032" si="1796">HYPERLINK("https://12go.asia/en/travel/Ho-Chi-Minh/Ho-Chi-Minh-Urban-Area", "12Go Link")</f>
        <v>12Go Link</v>
      </c>
      <c r="E12028" s="3" t="s">
        <v>222</v>
      </c>
      <c r="K12028" s="5"/>
    </row>
    <row r="12029">
      <c r="A12029" s="3" t="s">
        <v>9419</v>
      </c>
      <c r="B12029" s="3" t="s">
        <v>9419</v>
      </c>
      <c r="C12029" s="3" t="s">
        <v>9924</v>
      </c>
      <c r="D12029" s="4" t="str">
        <f t="shared" si="1796"/>
        <v>12Go Link</v>
      </c>
      <c r="E12029" s="3" t="s">
        <v>6599</v>
      </c>
      <c r="K12029" s="5"/>
    </row>
    <row r="12030">
      <c r="A12030" s="3" t="s">
        <v>9419</v>
      </c>
      <c r="B12030" s="3" t="s">
        <v>9419</v>
      </c>
      <c r="C12030" s="3" t="s">
        <v>9924</v>
      </c>
      <c r="D12030" s="4" t="str">
        <f t="shared" si="1796"/>
        <v>12Go Link</v>
      </c>
      <c r="E12030" s="3" t="s">
        <v>9395</v>
      </c>
      <c r="K12030" s="5"/>
    </row>
    <row r="12031">
      <c r="A12031" s="3" t="s">
        <v>9419</v>
      </c>
      <c r="B12031" s="3" t="s">
        <v>9419</v>
      </c>
      <c r="C12031" s="3" t="s">
        <v>9924</v>
      </c>
      <c r="D12031" s="4" t="str">
        <f t="shared" si="1796"/>
        <v>12Go Link</v>
      </c>
      <c r="E12031" s="3" t="s">
        <v>9396</v>
      </c>
      <c r="K12031" s="5"/>
    </row>
    <row r="12032">
      <c r="A12032" s="3" t="s">
        <v>9419</v>
      </c>
      <c r="B12032" s="3" t="s">
        <v>9419</v>
      </c>
      <c r="C12032" s="3" t="s">
        <v>9924</v>
      </c>
      <c r="D12032" s="4" t="str">
        <f t="shared" si="1796"/>
        <v>12Go Link</v>
      </c>
      <c r="E12032" s="3" t="s">
        <v>7470</v>
      </c>
      <c r="K12032" s="5"/>
    </row>
    <row r="12033">
      <c r="A12033" s="3" t="s">
        <v>9419</v>
      </c>
      <c r="B12033" s="3" t="s">
        <v>9419</v>
      </c>
      <c r="C12033" s="3" t="s">
        <v>9925</v>
      </c>
      <c r="D12033" s="4" t="str">
        <f t="shared" ref="D12033:D12037" si="1797">HYPERLINK("https://12go.asia/en/travel/Ho-Chi-Minh-City-Airport/Ho-Chi-Minh-City-Center", "12Go Link")</f>
        <v>12Go Link</v>
      </c>
      <c r="E12033" s="3" t="s">
        <v>222</v>
      </c>
      <c r="K12033" s="5"/>
    </row>
    <row r="12034">
      <c r="A12034" s="3" t="s">
        <v>9419</v>
      </c>
      <c r="B12034" s="3" t="s">
        <v>9419</v>
      </c>
      <c r="C12034" s="3" t="s">
        <v>9925</v>
      </c>
      <c r="D12034" s="4" t="str">
        <f t="shared" si="1797"/>
        <v>12Go Link</v>
      </c>
      <c r="E12034" s="3" t="s">
        <v>6599</v>
      </c>
      <c r="K12034" s="5"/>
    </row>
    <row r="12035">
      <c r="A12035" s="3" t="s">
        <v>9419</v>
      </c>
      <c r="B12035" s="3" t="s">
        <v>9419</v>
      </c>
      <c r="C12035" s="3" t="s">
        <v>9925</v>
      </c>
      <c r="D12035" s="4" t="str">
        <f t="shared" si="1797"/>
        <v>12Go Link</v>
      </c>
      <c r="E12035" s="3" t="s">
        <v>9395</v>
      </c>
      <c r="K12035" s="5"/>
    </row>
    <row r="12036">
      <c r="A12036" s="3" t="s">
        <v>9419</v>
      </c>
      <c r="B12036" s="3" t="s">
        <v>9419</v>
      </c>
      <c r="C12036" s="3" t="s">
        <v>9925</v>
      </c>
      <c r="D12036" s="4" t="str">
        <f t="shared" si="1797"/>
        <v>12Go Link</v>
      </c>
      <c r="E12036" s="3" t="s">
        <v>9396</v>
      </c>
      <c r="K12036" s="5"/>
    </row>
    <row r="12037">
      <c r="A12037" s="3" t="s">
        <v>9419</v>
      </c>
      <c r="B12037" s="3" t="s">
        <v>9419</v>
      </c>
      <c r="C12037" s="3" t="s">
        <v>9925</v>
      </c>
      <c r="D12037" s="4" t="str">
        <f t="shared" si="1797"/>
        <v>12Go Link</v>
      </c>
      <c r="E12037" s="3" t="s">
        <v>7470</v>
      </c>
      <c r="K12037" s="5"/>
    </row>
    <row r="12038">
      <c r="A12038" s="3" t="s">
        <v>9419</v>
      </c>
      <c r="B12038" s="3" t="s">
        <v>9419</v>
      </c>
      <c r="C12038" s="3" t="s">
        <v>9926</v>
      </c>
      <c r="D12038" s="4" t="str">
        <f t="shared" ref="D12038:D12042" si="1798">HYPERLINK("https://12go.asia/en/travel/Ho-Chi-Minh-City-Airport/Ho-Chi-Minh-Urban-Area", "12Go Link")</f>
        <v>12Go Link</v>
      </c>
      <c r="E12038" s="3" t="s">
        <v>222</v>
      </c>
      <c r="K12038" s="5"/>
    </row>
    <row r="12039">
      <c r="A12039" s="3" t="s">
        <v>9419</v>
      </c>
      <c r="B12039" s="3" t="s">
        <v>9419</v>
      </c>
      <c r="C12039" s="3" t="s">
        <v>9926</v>
      </c>
      <c r="D12039" s="4" t="str">
        <f t="shared" si="1798"/>
        <v>12Go Link</v>
      </c>
      <c r="E12039" s="3" t="s">
        <v>6599</v>
      </c>
      <c r="K12039" s="5"/>
    </row>
    <row r="12040">
      <c r="A12040" s="3" t="s">
        <v>9419</v>
      </c>
      <c r="B12040" s="3" t="s">
        <v>9419</v>
      </c>
      <c r="C12040" s="3" t="s">
        <v>9926</v>
      </c>
      <c r="D12040" s="4" t="str">
        <f t="shared" si="1798"/>
        <v>12Go Link</v>
      </c>
      <c r="E12040" s="3" t="s">
        <v>9395</v>
      </c>
      <c r="K12040" s="5"/>
    </row>
    <row r="12041">
      <c r="A12041" s="3" t="s">
        <v>9419</v>
      </c>
      <c r="B12041" s="3" t="s">
        <v>9419</v>
      </c>
      <c r="C12041" s="3" t="s">
        <v>9926</v>
      </c>
      <c r="D12041" s="4" t="str">
        <f t="shared" si="1798"/>
        <v>12Go Link</v>
      </c>
      <c r="E12041" s="3" t="s">
        <v>9396</v>
      </c>
      <c r="K12041" s="5"/>
    </row>
    <row r="12042">
      <c r="A12042" s="3" t="s">
        <v>9419</v>
      </c>
      <c r="B12042" s="3" t="s">
        <v>9419</v>
      </c>
      <c r="C12042" s="3" t="s">
        <v>9926</v>
      </c>
      <c r="D12042" s="4" t="str">
        <f t="shared" si="1798"/>
        <v>12Go Link</v>
      </c>
      <c r="E12042" s="3" t="s">
        <v>7470</v>
      </c>
      <c r="K12042" s="5"/>
    </row>
    <row r="12043">
      <c r="A12043" s="3" t="s">
        <v>9419</v>
      </c>
      <c r="B12043" s="3" t="s">
        <v>9419</v>
      </c>
      <c r="C12043" s="3" t="s">
        <v>9927</v>
      </c>
      <c r="D12043" s="4" t="str">
        <f t="shared" ref="D12043:D12045" si="1799">HYPERLINK("https://12go.asia/en/travel/Tan-Son-Nhat-Airport/Ho-Chi-Minh-city-centre", "12Go Link")</f>
        <v>12Go Link</v>
      </c>
      <c r="E12043" s="3" t="s">
        <v>3196</v>
      </c>
      <c r="K12043" s="5"/>
    </row>
    <row r="12044">
      <c r="A12044" s="3" t="s">
        <v>9419</v>
      </c>
      <c r="B12044" s="3" t="s">
        <v>9419</v>
      </c>
      <c r="C12044" s="3" t="s">
        <v>9927</v>
      </c>
      <c r="D12044" s="4" t="str">
        <f t="shared" si="1799"/>
        <v>12Go Link</v>
      </c>
      <c r="E12044" s="3" t="s">
        <v>6599</v>
      </c>
      <c r="K12044" s="5"/>
    </row>
    <row r="12045">
      <c r="A12045" s="3" t="s">
        <v>9419</v>
      </c>
      <c r="B12045" s="3" t="s">
        <v>9419</v>
      </c>
      <c r="C12045" s="3" t="s">
        <v>9927</v>
      </c>
      <c r="D12045" s="4" t="str">
        <f t="shared" si="1799"/>
        <v>12Go Link</v>
      </c>
      <c r="E12045" s="3" t="s">
        <v>3197</v>
      </c>
      <c r="K12045" s="5"/>
    </row>
    <row r="12046">
      <c r="A12046" s="3" t="s">
        <v>9419</v>
      </c>
      <c r="B12046" s="3" t="s">
        <v>9419</v>
      </c>
      <c r="C12046" s="3" t="s">
        <v>9928</v>
      </c>
      <c r="D12046" s="4" t="str">
        <f t="shared" ref="D12046:D12048" si="1800">HYPERLINK("https://12go.asia/en/travel/Tan-Son-Nhat-Airport/Ho-Chi-Minh-Urban-Area", "12Go Link")</f>
        <v>12Go Link</v>
      </c>
      <c r="E12046" s="3" t="s">
        <v>3196</v>
      </c>
      <c r="K12046" s="5"/>
    </row>
    <row r="12047">
      <c r="A12047" s="3" t="s">
        <v>9419</v>
      </c>
      <c r="B12047" s="3" t="s">
        <v>9419</v>
      </c>
      <c r="C12047" s="3" t="s">
        <v>9928</v>
      </c>
      <c r="D12047" s="4" t="str">
        <f t="shared" si="1800"/>
        <v>12Go Link</v>
      </c>
      <c r="E12047" s="3" t="s">
        <v>6599</v>
      </c>
      <c r="K12047" s="5"/>
    </row>
    <row r="12048">
      <c r="A12048" s="3" t="s">
        <v>9419</v>
      </c>
      <c r="B12048" s="3" t="s">
        <v>9419</v>
      </c>
      <c r="C12048" s="3" t="s">
        <v>9928</v>
      </c>
      <c r="D12048" s="4" t="str">
        <f t="shared" si="1800"/>
        <v>12Go Link</v>
      </c>
      <c r="E12048" s="3" t="s">
        <v>3197</v>
      </c>
      <c r="K12048" s="5"/>
    </row>
    <row r="12049">
      <c r="A12049" s="3" t="s">
        <v>9419</v>
      </c>
      <c r="B12049" s="3" t="s">
        <v>9419</v>
      </c>
      <c r="C12049" s="3" t="s">
        <v>9929</v>
      </c>
      <c r="D12049" s="4" t="str">
        <f t="shared" ref="D12049:D12051" si="1801">HYPERLINK("https://12go.asia/en/travel/Tan-Son-Nhat-Airport/Tan-Son-Nhat-Airport", "12Go Link")</f>
        <v>12Go Link</v>
      </c>
      <c r="E12049" s="3" t="s">
        <v>3196</v>
      </c>
      <c r="K12049" s="5"/>
    </row>
    <row r="12050">
      <c r="A12050" s="3" t="s">
        <v>9419</v>
      </c>
      <c r="B12050" s="3" t="s">
        <v>9419</v>
      </c>
      <c r="C12050" s="3" t="s">
        <v>9929</v>
      </c>
      <c r="D12050" s="4" t="str">
        <f t="shared" si="1801"/>
        <v>12Go Link</v>
      </c>
      <c r="E12050" s="3" t="s">
        <v>6599</v>
      </c>
      <c r="K12050" s="5"/>
    </row>
    <row r="12051">
      <c r="A12051" s="3" t="s">
        <v>9419</v>
      </c>
      <c r="B12051" s="3" t="s">
        <v>9419</v>
      </c>
      <c r="C12051" s="3" t="s">
        <v>9929</v>
      </c>
      <c r="D12051" s="4" t="str">
        <f t="shared" si="1801"/>
        <v>12Go Link</v>
      </c>
      <c r="E12051" s="3" t="s">
        <v>3197</v>
      </c>
      <c r="K12051" s="5"/>
    </row>
    <row r="12052">
      <c r="A12052" s="3" t="s">
        <v>9419</v>
      </c>
      <c r="B12052" s="3" t="s">
        <v>9487</v>
      </c>
      <c r="C12052" s="3" t="s">
        <v>9930</v>
      </c>
      <c r="D12052" s="4" t="str">
        <f>HYPERLINK("https://12go.asia/en/travel/273-Pham-Ngu-Lao/Hoi-An-Hanh-Cafe", "12Go Link")</f>
        <v>12Go Link</v>
      </c>
      <c r="E12052" s="3" t="s">
        <v>9538</v>
      </c>
      <c r="K12052" s="5"/>
    </row>
    <row r="12053">
      <c r="A12053" s="3" t="s">
        <v>9419</v>
      </c>
      <c r="B12053" s="3" t="s">
        <v>9502</v>
      </c>
      <c r="C12053" s="3" t="s">
        <v>9931</v>
      </c>
      <c r="D12053" s="4" t="str">
        <f>HYPERLINK("https://12go.asia/en/travel/273-Pham-Ngu-Lao/28-Chu-Van-An", "12Go Link")</f>
        <v>12Go Link</v>
      </c>
      <c r="E12053" s="3" t="s">
        <v>9538</v>
      </c>
      <c r="K12053" s="5"/>
    </row>
    <row r="12054">
      <c r="A12054" s="3" t="s">
        <v>9419</v>
      </c>
      <c r="B12054" s="3" t="s">
        <v>9502</v>
      </c>
      <c r="C12054" s="3" t="s">
        <v>9932</v>
      </c>
      <c r="D12054" s="4" t="str">
        <f t="shared" ref="D12054:D12055" si="1802">HYPERLINK("https://12go.asia/en/travel/An-Suong-Bus-Station/Ben-xe-Phia-Nam-Hue", "12Go Link")</f>
        <v>12Go Link</v>
      </c>
      <c r="E12054" s="3" t="s">
        <v>9535</v>
      </c>
      <c r="K12054" s="5"/>
    </row>
    <row r="12055">
      <c r="A12055" s="3" t="s">
        <v>9419</v>
      </c>
      <c r="B12055" s="3" t="s">
        <v>9502</v>
      </c>
      <c r="C12055" s="3" t="s">
        <v>9932</v>
      </c>
      <c r="D12055" s="4" t="str">
        <f t="shared" si="1802"/>
        <v>12Go Link</v>
      </c>
      <c r="E12055" s="3" t="s">
        <v>9530</v>
      </c>
      <c r="K12055" s="5"/>
    </row>
    <row r="12056">
      <c r="A12056" s="3" t="s">
        <v>9419</v>
      </c>
      <c r="B12056" s="3" t="s">
        <v>9502</v>
      </c>
      <c r="C12056" s="3" t="s">
        <v>9933</v>
      </c>
      <c r="D12056" s="4" t="str">
        <f>HYPERLINK("https://12go.asia/en/travel/Mien-Dong-Moi/Ben-xe-Phia-Nam-Hue", "12Go Link")</f>
        <v>12Go Link</v>
      </c>
      <c r="E12056" s="3" t="s">
        <v>9535</v>
      </c>
      <c r="K12056" s="5"/>
    </row>
    <row r="12057">
      <c r="A12057" s="3" t="s">
        <v>9419</v>
      </c>
      <c r="B12057" s="3" t="s">
        <v>9602</v>
      </c>
      <c r="C12057" s="3" t="s">
        <v>9934</v>
      </c>
      <c r="D12057" s="4" t="str">
        <f t="shared" ref="D12057:D12058" si="1803">HYPERLINK("https://12go.asia/en/travel/99-Nguyen-Cu-Trinh/9-Le-Duan", "12Go Link")</f>
        <v>12Go Link</v>
      </c>
      <c r="E12057" s="3" t="s">
        <v>9509</v>
      </c>
      <c r="K12057" s="5"/>
    </row>
    <row r="12058">
      <c r="A12058" s="3" t="s">
        <v>9419</v>
      </c>
      <c r="B12058" s="3" t="s">
        <v>9602</v>
      </c>
      <c r="C12058" s="3" t="s">
        <v>9934</v>
      </c>
      <c r="D12058" s="4" t="str">
        <f t="shared" si="1803"/>
        <v>12Go Link</v>
      </c>
      <c r="E12058" s="3" t="s">
        <v>9935</v>
      </c>
      <c r="K12058" s="5"/>
    </row>
    <row r="12059">
      <c r="A12059" s="3" t="s">
        <v>9419</v>
      </c>
      <c r="B12059" s="3" t="s">
        <v>9386</v>
      </c>
      <c r="C12059" s="3" t="s">
        <v>9936</v>
      </c>
      <c r="D12059" s="4" t="str">
        <f t="shared" ref="D12059:D12060" si="1804">HYPERLINK("https://12go.asia/en/travel/144-Nguyen-Van-Luong/Lac-Duong-Da-Lat", "12Go Link")</f>
        <v>12Go Link</v>
      </c>
      <c r="E12059" s="3" t="s">
        <v>9374</v>
      </c>
      <c r="K12059" s="5"/>
    </row>
    <row r="12060">
      <c r="A12060" s="3" t="s">
        <v>9419</v>
      </c>
      <c r="B12060" s="3" t="s">
        <v>9386</v>
      </c>
      <c r="C12060" s="3" t="s">
        <v>9936</v>
      </c>
      <c r="D12060" s="4" t="str">
        <f t="shared" si="1804"/>
        <v>12Go Link</v>
      </c>
      <c r="E12060" s="3" t="s">
        <v>9412</v>
      </c>
      <c r="K12060" s="5"/>
    </row>
    <row r="12061">
      <c r="A12061" s="3" t="s">
        <v>9419</v>
      </c>
      <c r="B12061" s="3" t="s">
        <v>9386</v>
      </c>
      <c r="C12061" s="3" t="s">
        <v>9937</v>
      </c>
      <c r="D12061" s="4" t="str">
        <f>HYPERLINK("https://12go.asia/en/travel/147-Le-Hong-Phong/Ben-Xe-Da-Thien", "12Go Link")</f>
        <v>12Go Link</v>
      </c>
      <c r="E12061" s="3" t="s">
        <v>9415</v>
      </c>
      <c r="K12061" s="5"/>
    </row>
    <row r="12062">
      <c r="A12062" s="3" t="s">
        <v>9419</v>
      </c>
      <c r="B12062" s="3" t="s">
        <v>9386</v>
      </c>
      <c r="C12062" s="3" t="s">
        <v>9938</v>
      </c>
      <c r="D12062" s="4" t="str">
        <f>HYPERLINK("https://12go.asia/en/travel/147-Le-Hong-Phong/Di-Linh-Bus-Station", "12Go Link")</f>
        <v>12Go Link</v>
      </c>
      <c r="E12062" s="3" t="s">
        <v>9415</v>
      </c>
      <c r="K12062" s="5"/>
    </row>
    <row r="12063">
      <c r="A12063" s="3" t="s">
        <v>9419</v>
      </c>
      <c r="B12063" s="3" t="s">
        <v>9386</v>
      </c>
      <c r="C12063" s="3" t="s">
        <v>9939</v>
      </c>
      <c r="D12063" s="4" t="str">
        <f>HYPERLINK("https://12go.asia/en/travel/147-Le-Hong-Phong/Duc-Trong", "12Go Link")</f>
        <v>12Go Link</v>
      </c>
      <c r="E12063" s="3" t="s">
        <v>9415</v>
      </c>
      <c r="K12063" s="5"/>
    </row>
    <row r="12064">
      <c r="A12064" s="3" t="s">
        <v>9419</v>
      </c>
      <c r="B12064" s="3" t="s">
        <v>9386</v>
      </c>
      <c r="C12064" s="3" t="s">
        <v>9940</v>
      </c>
      <c r="D12064" s="4" t="str">
        <f t="shared" ref="D12064:D12065" si="1805">HYPERLINK("https://12go.asia/en/travel/Binh-Phuoc-intersection/Lac-Duong-Da-Lat", "12Go Link")</f>
        <v>12Go Link</v>
      </c>
      <c r="E12064" s="3" t="s">
        <v>9374</v>
      </c>
      <c r="K12064" s="5"/>
    </row>
    <row r="12065">
      <c r="A12065" s="3" t="s">
        <v>9419</v>
      </c>
      <c r="B12065" s="3" t="s">
        <v>9386</v>
      </c>
      <c r="C12065" s="3" t="s">
        <v>9940</v>
      </c>
      <c r="D12065" s="4" t="str">
        <f t="shared" si="1805"/>
        <v>12Go Link</v>
      </c>
      <c r="E12065" s="3" t="s">
        <v>9412</v>
      </c>
      <c r="K12065" s="5"/>
    </row>
    <row r="12066">
      <c r="A12066" s="3" t="s">
        <v>9419</v>
      </c>
      <c r="B12066" s="3" t="s">
        <v>9386</v>
      </c>
      <c r="C12066" s="3" t="s">
        <v>9941</v>
      </c>
      <c r="D12066" s="4" t="str">
        <f t="shared" ref="D12066:D12067" si="1806">HYPERLINK("https://12go.asia/en/travel/Binh-Thanh/Lac-Duong-Da-Lat", "12Go Link")</f>
        <v>12Go Link</v>
      </c>
      <c r="E12066" s="3" t="s">
        <v>9374</v>
      </c>
      <c r="K12066" s="5"/>
    </row>
    <row r="12067">
      <c r="A12067" s="3" t="s">
        <v>9419</v>
      </c>
      <c r="B12067" s="3" t="s">
        <v>9386</v>
      </c>
      <c r="C12067" s="3" t="s">
        <v>9941</v>
      </c>
      <c r="D12067" s="4" t="str">
        <f t="shared" si="1806"/>
        <v>12Go Link</v>
      </c>
      <c r="E12067" s="3" t="s">
        <v>9412</v>
      </c>
      <c r="K12067" s="5"/>
    </row>
    <row r="12068">
      <c r="A12068" s="3" t="s">
        <v>9419</v>
      </c>
      <c r="B12068" s="3" t="s">
        <v>9386</v>
      </c>
      <c r="C12068" s="3" t="s">
        <v>9942</v>
      </c>
      <c r="D12068" s="4" t="str">
        <f t="shared" ref="D12068:D12069" si="1807">HYPERLINK("https://12go.asia/en/travel/District-10/Lac-Duong-Da-Lat", "12Go Link")</f>
        <v>12Go Link</v>
      </c>
      <c r="E12068" s="3" t="s">
        <v>9374</v>
      </c>
      <c r="K12068" s="5"/>
    </row>
    <row r="12069">
      <c r="A12069" s="3" t="s">
        <v>9419</v>
      </c>
      <c r="B12069" s="3" t="s">
        <v>9386</v>
      </c>
      <c r="C12069" s="3" t="s">
        <v>9942</v>
      </c>
      <c r="D12069" s="4" t="str">
        <f t="shared" si="1807"/>
        <v>12Go Link</v>
      </c>
      <c r="E12069" s="3" t="s">
        <v>9412</v>
      </c>
      <c r="K12069" s="5"/>
    </row>
    <row r="12070">
      <c r="A12070" s="3" t="s">
        <v>9419</v>
      </c>
      <c r="B12070" s="3" t="s">
        <v>9386</v>
      </c>
      <c r="C12070" s="3" t="s">
        <v>9943</v>
      </c>
      <c r="D12070" s="4" t="str">
        <f t="shared" ref="D12070:D12071" si="1808">HYPERLINK("https://12go.asia/en/travel/District-5/Lac-Duong-Da-Lat", "12Go Link")</f>
        <v>12Go Link</v>
      </c>
      <c r="E12070" s="3" t="s">
        <v>9374</v>
      </c>
      <c r="K12070" s="5"/>
    </row>
    <row r="12071">
      <c r="A12071" s="3" t="s">
        <v>9419</v>
      </c>
      <c r="B12071" s="3" t="s">
        <v>9386</v>
      </c>
      <c r="C12071" s="3" t="s">
        <v>9943</v>
      </c>
      <c r="D12071" s="4" t="str">
        <f t="shared" si="1808"/>
        <v>12Go Link</v>
      </c>
      <c r="E12071" s="3" t="s">
        <v>9412</v>
      </c>
      <c r="K12071" s="5"/>
    </row>
    <row r="12072">
      <c r="A12072" s="3" t="s">
        <v>9419</v>
      </c>
      <c r="B12072" s="3" t="s">
        <v>9386</v>
      </c>
      <c r="C12072" s="3" t="s">
        <v>9944</v>
      </c>
      <c r="D12072" s="4" t="str">
        <f>HYPERLINK("https://12go.asia/en/travel/Mien-Tay-Office/Ben-Xe-Da-Thien", "12Go Link")</f>
        <v>12Go Link</v>
      </c>
      <c r="E12072" s="3" t="s">
        <v>9415</v>
      </c>
      <c r="K12072" s="5"/>
    </row>
    <row r="12073">
      <c r="A12073" s="3" t="s">
        <v>9419</v>
      </c>
      <c r="B12073" s="3" t="s">
        <v>9386</v>
      </c>
      <c r="C12073" s="3" t="s">
        <v>9945</v>
      </c>
      <c r="D12073" s="4" t="str">
        <f>HYPERLINK("https://12go.asia/en/travel/Mien-Tay-Office/Di-Linh-Bus-Station", "12Go Link")</f>
        <v>12Go Link</v>
      </c>
      <c r="E12073" s="3" t="s">
        <v>9415</v>
      </c>
      <c r="K12073" s="5"/>
    </row>
    <row r="12074">
      <c r="A12074" s="3" t="s">
        <v>9419</v>
      </c>
      <c r="B12074" s="3" t="s">
        <v>9386</v>
      </c>
      <c r="C12074" s="3" t="s">
        <v>9946</v>
      </c>
      <c r="D12074" s="4" t="str">
        <f>HYPERLINK("https://12go.asia/en/travel/Mien-Tay-Office/Duc-Trong", "12Go Link")</f>
        <v>12Go Link</v>
      </c>
      <c r="E12074" s="3" t="s">
        <v>9415</v>
      </c>
      <c r="K12074" s="5"/>
    </row>
    <row r="12075">
      <c r="A12075" s="3" t="s">
        <v>9419</v>
      </c>
      <c r="B12075" s="3" t="s">
        <v>9386</v>
      </c>
      <c r="C12075" s="3" t="s">
        <v>9947</v>
      </c>
      <c r="D12075" s="4" t="str">
        <f t="shared" ref="D12075:D12076" si="1809">HYPERLINK("https://12go.asia/en/travel/Suoi-Tien/Lac-Duong-Da-Lat", "12Go Link")</f>
        <v>12Go Link</v>
      </c>
      <c r="E12075" s="3" t="s">
        <v>9374</v>
      </c>
      <c r="K12075" s="5"/>
    </row>
    <row r="12076">
      <c r="A12076" s="3" t="s">
        <v>9419</v>
      </c>
      <c r="B12076" s="3" t="s">
        <v>9386</v>
      </c>
      <c r="C12076" s="3" t="s">
        <v>9947</v>
      </c>
      <c r="D12076" s="4" t="str">
        <f t="shared" si="1809"/>
        <v>12Go Link</v>
      </c>
      <c r="E12076" s="3" t="s">
        <v>9412</v>
      </c>
      <c r="K12076" s="5"/>
    </row>
    <row r="12077">
      <c r="A12077" s="3" t="s">
        <v>9419</v>
      </c>
      <c r="B12077" s="3" t="s">
        <v>9386</v>
      </c>
      <c r="C12077" s="3" t="s">
        <v>9948</v>
      </c>
      <c r="D12077" s="4" t="str">
        <f t="shared" ref="D12077:D12078" si="1810">HYPERLINK("https://12go.asia/en/travel/Tan-Binh/Lac-Duong-Da-Lat", "12Go Link")</f>
        <v>12Go Link</v>
      </c>
      <c r="E12077" s="3" t="s">
        <v>9374</v>
      </c>
      <c r="K12077" s="5"/>
    </row>
    <row r="12078">
      <c r="A12078" s="3" t="s">
        <v>9419</v>
      </c>
      <c r="B12078" s="3" t="s">
        <v>9386</v>
      </c>
      <c r="C12078" s="3" t="s">
        <v>9948</v>
      </c>
      <c r="D12078" s="4" t="str">
        <f t="shared" si="1810"/>
        <v>12Go Link</v>
      </c>
      <c r="E12078" s="3" t="s">
        <v>9412</v>
      </c>
      <c r="K12078" s="5"/>
    </row>
    <row r="12079">
      <c r="A12079" s="3" t="s">
        <v>9419</v>
      </c>
      <c r="B12079" s="3" t="s">
        <v>9531</v>
      </c>
      <c r="C12079" s="3" t="s">
        <v>9949</v>
      </c>
      <c r="D12079" s="4" t="str">
        <f>HYPERLINK("https://12go.asia/en/travel/317-Pham-Ngu-Lao/117-Nguyen-Dinh-Chieu", "12Go Link")</f>
        <v>12Go Link</v>
      </c>
      <c r="E12079" s="3" t="s">
        <v>9449</v>
      </c>
      <c r="K12079" s="5"/>
    </row>
    <row r="12080">
      <c r="A12080" s="3" t="s">
        <v>9419</v>
      </c>
      <c r="B12080" s="3" t="s">
        <v>9531</v>
      </c>
      <c r="C12080" s="3" t="s">
        <v>9950</v>
      </c>
      <c r="D12080" s="4" t="str">
        <f t="shared" ref="D12080:D12085" si="1811">HYPERLINK("https://12go.asia/en/travel/Ho-Chi-Minh/Mui-Ne", "12Go Link")</f>
        <v>12Go Link</v>
      </c>
      <c r="E12080" s="3" t="s">
        <v>9428</v>
      </c>
      <c r="K12080" s="5"/>
    </row>
    <row r="12081">
      <c r="A12081" s="3" t="s">
        <v>9419</v>
      </c>
      <c r="B12081" s="3" t="s">
        <v>9531</v>
      </c>
      <c r="C12081" s="3" t="s">
        <v>9950</v>
      </c>
      <c r="D12081" s="4" t="str">
        <f t="shared" si="1811"/>
        <v>12Go Link</v>
      </c>
      <c r="E12081" s="3" t="s">
        <v>222</v>
      </c>
      <c r="K12081" s="5"/>
    </row>
    <row r="12082">
      <c r="A12082" s="3" t="s">
        <v>9419</v>
      </c>
      <c r="B12082" s="3" t="s">
        <v>9531</v>
      </c>
      <c r="C12082" s="3" t="s">
        <v>9950</v>
      </c>
      <c r="D12082" s="4" t="str">
        <f t="shared" si="1811"/>
        <v>12Go Link</v>
      </c>
      <c r="E12082" s="3" t="s">
        <v>6599</v>
      </c>
      <c r="K12082" s="5"/>
    </row>
    <row r="12083">
      <c r="A12083" s="3" t="s">
        <v>9419</v>
      </c>
      <c r="B12083" s="3" t="s">
        <v>9531</v>
      </c>
      <c r="C12083" s="3" t="s">
        <v>9950</v>
      </c>
      <c r="D12083" s="4" t="str">
        <f t="shared" si="1811"/>
        <v>12Go Link</v>
      </c>
      <c r="E12083" s="3" t="s">
        <v>9395</v>
      </c>
      <c r="K12083" s="5"/>
    </row>
    <row r="12084">
      <c r="A12084" s="3" t="s">
        <v>9419</v>
      </c>
      <c r="B12084" s="3" t="s">
        <v>9531</v>
      </c>
      <c r="C12084" s="3" t="s">
        <v>9950</v>
      </c>
      <c r="D12084" s="4" t="str">
        <f t="shared" si="1811"/>
        <v>12Go Link</v>
      </c>
      <c r="E12084" s="3" t="s">
        <v>9396</v>
      </c>
      <c r="K12084" s="5"/>
    </row>
    <row r="12085">
      <c r="A12085" s="3" t="s">
        <v>9419</v>
      </c>
      <c r="B12085" s="3" t="s">
        <v>9531</v>
      </c>
      <c r="C12085" s="3" t="s">
        <v>9950</v>
      </c>
      <c r="D12085" s="4" t="str">
        <f t="shared" si="1811"/>
        <v>12Go Link</v>
      </c>
      <c r="E12085" s="3" t="s">
        <v>7470</v>
      </c>
      <c r="K12085" s="5"/>
    </row>
    <row r="12086">
      <c r="A12086" s="3" t="s">
        <v>9419</v>
      </c>
      <c r="B12086" s="3" t="s">
        <v>9531</v>
      </c>
      <c r="C12086" s="3" t="s">
        <v>9951</v>
      </c>
      <c r="D12086" s="4" t="str">
        <f t="shared" ref="D12086:D12090" si="1812">HYPERLINK("https://12go.asia/en/travel/Ho-Chi-Minh-City-Airport/Mui-Ne", "12Go Link")</f>
        <v>12Go Link</v>
      </c>
      <c r="E12086" s="3" t="s">
        <v>222</v>
      </c>
      <c r="K12086" s="5"/>
    </row>
    <row r="12087">
      <c r="A12087" s="3" t="s">
        <v>9419</v>
      </c>
      <c r="B12087" s="3" t="s">
        <v>9531</v>
      </c>
      <c r="C12087" s="3" t="s">
        <v>9951</v>
      </c>
      <c r="D12087" s="4" t="str">
        <f t="shared" si="1812"/>
        <v>12Go Link</v>
      </c>
      <c r="E12087" s="3" t="s">
        <v>6599</v>
      </c>
      <c r="K12087" s="5"/>
    </row>
    <row r="12088">
      <c r="A12088" s="3" t="s">
        <v>9419</v>
      </c>
      <c r="B12088" s="3" t="s">
        <v>9531</v>
      </c>
      <c r="C12088" s="3" t="s">
        <v>9951</v>
      </c>
      <c r="D12088" s="4" t="str">
        <f t="shared" si="1812"/>
        <v>12Go Link</v>
      </c>
      <c r="E12088" s="3" t="s">
        <v>9395</v>
      </c>
      <c r="K12088" s="5"/>
    </row>
    <row r="12089">
      <c r="A12089" s="3" t="s">
        <v>9419</v>
      </c>
      <c r="B12089" s="3" t="s">
        <v>9531</v>
      </c>
      <c r="C12089" s="3" t="s">
        <v>9951</v>
      </c>
      <c r="D12089" s="4" t="str">
        <f t="shared" si="1812"/>
        <v>12Go Link</v>
      </c>
      <c r="E12089" s="3" t="s">
        <v>9396</v>
      </c>
      <c r="K12089" s="5"/>
    </row>
    <row r="12090">
      <c r="A12090" s="3" t="s">
        <v>9419</v>
      </c>
      <c r="B12090" s="3" t="s">
        <v>9531</v>
      </c>
      <c r="C12090" s="3" t="s">
        <v>9951</v>
      </c>
      <c r="D12090" s="4" t="str">
        <f t="shared" si="1812"/>
        <v>12Go Link</v>
      </c>
      <c r="E12090" s="3" t="s">
        <v>7470</v>
      </c>
      <c r="K12090" s="5"/>
    </row>
    <row r="12091">
      <c r="A12091" s="3" t="s">
        <v>9419</v>
      </c>
      <c r="B12091" s="3" t="s">
        <v>9952</v>
      </c>
      <c r="C12091" s="3" t="s">
        <v>9953</v>
      </c>
      <c r="D12091" s="4" t="str">
        <f t="shared" ref="D12091:D12095" si="1813">HYPERLINK("https://12go.asia/en/travel/Ho-Chi-Minh/My-Tho", "12Go Link")</f>
        <v>12Go Link</v>
      </c>
      <c r="E12091" s="3" t="s">
        <v>222</v>
      </c>
      <c r="K12091" s="5"/>
    </row>
    <row r="12092">
      <c r="A12092" s="3" t="s">
        <v>9419</v>
      </c>
      <c r="B12092" s="3" t="s">
        <v>9952</v>
      </c>
      <c r="C12092" s="3" t="s">
        <v>9953</v>
      </c>
      <c r="D12092" s="4" t="str">
        <f t="shared" si="1813"/>
        <v>12Go Link</v>
      </c>
      <c r="E12092" s="3" t="s">
        <v>6599</v>
      </c>
      <c r="K12092" s="5"/>
    </row>
    <row r="12093">
      <c r="A12093" s="3" t="s">
        <v>9419</v>
      </c>
      <c r="B12093" s="3" t="s">
        <v>9952</v>
      </c>
      <c r="C12093" s="3" t="s">
        <v>9953</v>
      </c>
      <c r="D12093" s="4" t="str">
        <f t="shared" si="1813"/>
        <v>12Go Link</v>
      </c>
      <c r="E12093" s="3" t="s">
        <v>9395</v>
      </c>
      <c r="K12093" s="5"/>
    </row>
    <row r="12094">
      <c r="A12094" s="3" t="s">
        <v>9419</v>
      </c>
      <c r="B12094" s="3" t="s">
        <v>9952</v>
      </c>
      <c r="C12094" s="3" t="s">
        <v>9953</v>
      </c>
      <c r="D12094" s="4" t="str">
        <f t="shared" si="1813"/>
        <v>12Go Link</v>
      </c>
      <c r="E12094" s="3" t="s">
        <v>9396</v>
      </c>
      <c r="K12094" s="5"/>
    </row>
    <row r="12095">
      <c r="A12095" s="3" t="s">
        <v>9419</v>
      </c>
      <c r="B12095" s="3" t="s">
        <v>9952</v>
      </c>
      <c r="C12095" s="3" t="s">
        <v>9953</v>
      </c>
      <c r="D12095" s="4" t="str">
        <f t="shared" si="1813"/>
        <v>12Go Link</v>
      </c>
      <c r="E12095" s="3" t="s">
        <v>7470</v>
      </c>
      <c r="K12095" s="5"/>
    </row>
    <row r="12096">
      <c r="A12096" s="3" t="s">
        <v>9419</v>
      </c>
      <c r="B12096" s="3" t="s">
        <v>9952</v>
      </c>
      <c r="C12096" s="3" t="s">
        <v>9954</v>
      </c>
      <c r="D12096" s="4" t="str">
        <f t="shared" ref="D12096:D12100" si="1814">HYPERLINK("https://12go.asia/en/travel/Ho-Chi-Minh-City-Airport/My-Tho", "12Go Link")</f>
        <v>12Go Link</v>
      </c>
      <c r="E12096" s="3" t="s">
        <v>222</v>
      </c>
      <c r="K12096" s="5"/>
    </row>
    <row r="12097">
      <c r="A12097" s="3" t="s">
        <v>9419</v>
      </c>
      <c r="B12097" s="3" t="s">
        <v>9952</v>
      </c>
      <c r="C12097" s="3" t="s">
        <v>9954</v>
      </c>
      <c r="D12097" s="4" t="str">
        <f t="shared" si="1814"/>
        <v>12Go Link</v>
      </c>
      <c r="E12097" s="3" t="s">
        <v>6599</v>
      </c>
      <c r="K12097" s="5"/>
    </row>
    <row r="12098">
      <c r="A12098" s="3" t="s">
        <v>9419</v>
      </c>
      <c r="B12098" s="3" t="s">
        <v>9952</v>
      </c>
      <c r="C12098" s="3" t="s">
        <v>9954</v>
      </c>
      <c r="D12098" s="4" t="str">
        <f t="shared" si="1814"/>
        <v>12Go Link</v>
      </c>
      <c r="E12098" s="3" t="s">
        <v>9395</v>
      </c>
      <c r="K12098" s="5"/>
    </row>
    <row r="12099">
      <c r="A12099" s="3" t="s">
        <v>9419</v>
      </c>
      <c r="B12099" s="3" t="s">
        <v>9952</v>
      </c>
      <c r="C12099" s="3" t="s">
        <v>9954</v>
      </c>
      <c r="D12099" s="4" t="str">
        <f t="shared" si="1814"/>
        <v>12Go Link</v>
      </c>
      <c r="E12099" s="3" t="s">
        <v>9396</v>
      </c>
      <c r="K12099" s="5"/>
    </row>
    <row r="12100">
      <c r="A12100" s="3" t="s">
        <v>9419</v>
      </c>
      <c r="B12100" s="3" t="s">
        <v>9952</v>
      </c>
      <c r="C12100" s="3" t="s">
        <v>9954</v>
      </c>
      <c r="D12100" s="4" t="str">
        <f t="shared" si="1814"/>
        <v>12Go Link</v>
      </c>
      <c r="E12100" s="3" t="s">
        <v>7470</v>
      </c>
      <c r="K12100" s="5"/>
    </row>
    <row r="12101">
      <c r="A12101" s="3" t="s">
        <v>9419</v>
      </c>
      <c r="B12101" s="3" t="s">
        <v>9397</v>
      </c>
      <c r="C12101" s="3" t="s">
        <v>9955</v>
      </c>
      <c r="D12101" s="4" t="str">
        <f>HYPERLINK("https://12go.asia/en/travel/273-Pham-Ngu-Lao/32-Hung-Vuong", "12Go Link")</f>
        <v>12Go Link</v>
      </c>
      <c r="E12101" s="3" t="s">
        <v>9538</v>
      </c>
      <c r="K12101" s="5"/>
    </row>
    <row r="12102">
      <c r="A12102" s="3" t="s">
        <v>9419</v>
      </c>
      <c r="B12102" s="3" t="s">
        <v>9397</v>
      </c>
      <c r="C12102" s="3" t="s">
        <v>9956</v>
      </c>
      <c r="D12102" s="4" t="str">
        <f>HYPERLINK("https://12go.asia/en/travel/273-Pham-Ngu-Lao/53-Le-Thanh-Phuong", "12Go Link")</f>
        <v>12Go Link</v>
      </c>
      <c r="E12102" s="3" t="s">
        <v>9538</v>
      </c>
      <c r="K12102" s="5"/>
    </row>
    <row r="12103">
      <c r="A12103" s="3" t="s">
        <v>9419</v>
      </c>
      <c r="B12103" s="3" t="s">
        <v>9397</v>
      </c>
      <c r="C12103" s="3" t="s">
        <v>9957</v>
      </c>
      <c r="D12103" s="4" t="str">
        <f>HYPERLINK("https://12go.asia/en/travel/273-Pham-Ngu-Lao/Panorama-Nha-Trang-Hotel", "12Go Link")</f>
        <v>12Go Link</v>
      </c>
      <c r="E12103" s="3" t="s">
        <v>9538</v>
      </c>
      <c r="K12103" s="5"/>
    </row>
    <row r="12104">
      <c r="A12104" s="3" t="s">
        <v>9419</v>
      </c>
      <c r="B12104" s="3" t="s">
        <v>9397</v>
      </c>
      <c r="C12104" s="3" t="s">
        <v>9958</v>
      </c>
      <c r="D12104" s="4" t="str">
        <f>HYPERLINK("https://12go.asia/en/travel/317-Pham-Ngu-Lao/Phi-Yen-Muong-Thanh-04-Apartment", "12Go Link")</f>
        <v>12Go Link</v>
      </c>
      <c r="E12104" s="3" t="s">
        <v>9449</v>
      </c>
      <c r="K12104" s="5"/>
    </row>
    <row r="12105">
      <c r="A12105" s="3" t="s">
        <v>9419</v>
      </c>
      <c r="B12105" s="3" t="s">
        <v>9397</v>
      </c>
      <c r="C12105" s="3" t="s">
        <v>9959</v>
      </c>
      <c r="D12105" s="4" t="str">
        <f t="shared" ref="D12105:D12106" si="1815">HYPERLINK("https://12go.asia/en/travel/99-Nguyen-Cu-Trinh/Nha-Trang-Binh-Minh-Office", "12Go Link")</f>
        <v>12Go Link</v>
      </c>
      <c r="E12105" s="3" t="s">
        <v>9509</v>
      </c>
      <c r="K12105" s="5"/>
    </row>
    <row r="12106">
      <c r="A12106" s="3" t="s">
        <v>9419</v>
      </c>
      <c r="B12106" s="3" t="s">
        <v>9397</v>
      </c>
      <c r="C12106" s="3" t="s">
        <v>9959</v>
      </c>
      <c r="D12106" s="4" t="str">
        <f t="shared" si="1815"/>
        <v>12Go Link</v>
      </c>
      <c r="E12106" s="3" t="s">
        <v>9935</v>
      </c>
      <c r="K12106" s="5"/>
    </row>
    <row r="12107">
      <c r="A12107" s="3" t="s">
        <v>9419</v>
      </c>
      <c r="B12107" s="3" t="s">
        <v>9397</v>
      </c>
      <c r="C12107" s="3" t="s">
        <v>9960</v>
      </c>
      <c r="D12107" s="4" t="str">
        <f t="shared" ref="D12107:D12110" si="1816">HYPERLINK("https://12go.asia/en/travel/Ho-Chi-Minh/Nha-Trang", "12Go Link")</f>
        <v>12Go Link</v>
      </c>
      <c r="E12107" s="3" t="s">
        <v>222</v>
      </c>
      <c r="K12107" s="5"/>
    </row>
    <row r="12108">
      <c r="A12108" s="3" t="s">
        <v>9419</v>
      </c>
      <c r="B12108" s="3" t="s">
        <v>9397</v>
      </c>
      <c r="C12108" s="3" t="s">
        <v>9960</v>
      </c>
      <c r="D12108" s="4" t="str">
        <f t="shared" si="1816"/>
        <v>12Go Link</v>
      </c>
      <c r="E12108" s="3" t="s">
        <v>9395</v>
      </c>
      <c r="K12108" s="5"/>
    </row>
    <row r="12109">
      <c r="A12109" s="3" t="s">
        <v>9419</v>
      </c>
      <c r="B12109" s="3" t="s">
        <v>9397</v>
      </c>
      <c r="C12109" s="3" t="s">
        <v>9960</v>
      </c>
      <c r="D12109" s="4" t="str">
        <f t="shared" si="1816"/>
        <v>12Go Link</v>
      </c>
      <c r="E12109" s="3" t="s">
        <v>9396</v>
      </c>
      <c r="K12109" s="5"/>
    </row>
    <row r="12110">
      <c r="A12110" s="3" t="s">
        <v>9419</v>
      </c>
      <c r="B12110" s="3" t="s">
        <v>9397</v>
      </c>
      <c r="C12110" s="3" t="s">
        <v>9960</v>
      </c>
      <c r="D12110" s="4" t="str">
        <f t="shared" si="1816"/>
        <v>12Go Link</v>
      </c>
      <c r="E12110" s="3" t="s">
        <v>7470</v>
      </c>
      <c r="K12110" s="5"/>
    </row>
    <row r="12111">
      <c r="A12111" s="3" t="s">
        <v>9419</v>
      </c>
      <c r="B12111" s="3" t="s">
        <v>9397</v>
      </c>
      <c r="C12111" s="3" t="s">
        <v>9961</v>
      </c>
      <c r="D12111" s="4" t="str">
        <f t="shared" ref="D12111:D12114" si="1817">HYPERLINK("https://12go.asia/en/travel/Ho-Chi-Minh-City-Airport/Nha-Trang", "12Go Link")</f>
        <v>12Go Link</v>
      </c>
      <c r="E12111" s="3" t="s">
        <v>222</v>
      </c>
      <c r="K12111" s="5"/>
    </row>
    <row r="12112">
      <c r="A12112" s="3" t="s">
        <v>9419</v>
      </c>
      <c r="B12112" s="3" t="s">
        <v>9397</v>
      </c>
      <c r="C12112" s="3" t="s">
        <v>9961</v>
      </c>
      <c r="D12112" s="4" t="str">
        <f t="shared" si="1817"/>
        <v>12Go Link</v>
      </c>
      <c r="E12112" s="3" t="s">
        <v>9395</v>
      </c>
      <c r="K12112" s="5"/>
    </row>
    <row r="12113">
      <c r="A12113" s="3" t="s">
        <v>9419</v>
      </c>
      <c r="B12113" s="3" t="s">
        <v>9397</v>
      </c>
      <c r="C12113" s="3" t="s">
        <v>9961</v>
      </c>
      <c r="D12113" s="4" t="str">
        <f t="shared" si="1817"/>
        <v>12Go Link</v>
      </c>
      <c r="E12113" s="3" t="s">
        <v>9396</v>
      </c>
      <c r="K12113" s="5"/>
    </row>
    <row r="12114">
      <c r="A12114" s="3" t="s">
        <v>9419</v>
      </c>
      <c r="B12114" s="3" t="s">
        <v>9397</v>
      </c>
      <c r="C12114" s="3" t="s">
        <v>9961</v>
      </c>
      <c r="D12114" s="4" t="str">
        <f t="shared" si="1817"/>
        <v>12Go Link</v>
      </c>
      <c r="E12114" s="3" t="s">
        <v>7470</v>
      </c>
      <c r="K12114" s="5"/>
    </row>
    <row r="12115">
      <c r="A12115" s="3" t="s">
        <v>9419</v>
      </c>
      <c r="B12115" s="3" t="s">
        <v>9399</v>
      </c>
      <c r="C12115" s="3" t="s">
        <v>9962</v>
      </c>
      <c r="D12115" s="4" t="str">
        <f t="shared" ref="D12115:D12119" si="1818">HYPERLINK("https://12go.asia/en/travel/Ho-Chi-Minh/Phan-Rang", "12Go Link")</f>
        <v>12Go Link</v>
      </c>
      <c r="E12115" s="3" t="s">
        <v>222</v>
      </c>
      <c r="K12115" s="5"/>
    </row>
    <row r="12116">
      <c r="A12116" s="3" t="s">
        <v>9419</v>
      </c>
      <c r="B12116" s="3" t="s">
        <v>9399</v>
      </c>
      <c r="C12116" s="3" t="s">
        <v>9962</v>
      </c>
      <c r="D12116" s="4" t="str">
        <f t="shared" si="1818"/>
        <v>12Go Link</v>
      </c>
      <c r="E12116" s="3" t="s">
        <v>6599</v>
      </c>
      <c r="K12116" s="5"/>
    </row>
    <row r="12117">
      <c r="A12117" s="3" t="s">
        <v>9419</v>
      </c>
      <c r="B12117" s="3" t="s">
        <v>9399</v>
      </c>
      <c r="C12117" s="3" t="s">
        <v>9962</v>
      </c>
      <c r="D12117" s="4" t="str">
        <f t="shared" si="1818"/>
        <v>12Go Link</v>
      </c>
      <c r="E12117" s="3" t="s">
        <v>9395</v>
      </c>
      <c r="K12117" s="5"/>
    </row>
    <row r="12118">
      <c r="A12118" s="3" t="s">
        <v>9419</v>
      </c>
      <c r="B12118" s="3" t="s">
        <v>9399</v>
      </c>
      <c r="C12118" s="3" t="s">
        <v>9962</v>
      </c>
      <c r="D12118" s="4" t="str">
        <f t="shared" si="1818"/>
        <v>12Go Link</v>
      </c>
      <c r="E12118" s="3" t="s">
        <v>9396</v>
      </c>
      <c r="K12118" s="5"/>
    </row>
    <row r="12119">
      <c r="A12119" s="3" t="s">
        <v>9419</v>
      </c>
      <c r="B12119" s="3" t="s">
        <v>9399</v>
      </c>
      <c r="C12119" s="3" t="s">
        <v>9962</v>
      </c>
      <c r="D12119" s="4" t="str">
        <f t="shared" si="1818"/>
        <v>12Go Link</v>
      </c>
      <c r="E12119" s="3" t="s">
        <v>7470</v>
      </c>
      <c r="K12119" s="5"/>
    </row>
    <row r="12120">
      <c r="A12120" s="3" t="s">
        <v>9419</v>
      </c>
      <c r="B12120" s="3" t="s">
        <v>9399</v>
      </c>
      <c r="C12120" s="3" t="s">
        <v>9963</v>
      </c>
      <c r="D12120" s="4" t="str">
        <f t="shared" ref="D12120:D12124" si="1819">HYPERLINK("https://12go.asia/en/travel/Ho-Chi-Minh-City-Airport/Phan-Rang", "12Go Link")</f>
        <v>12Go Link</v>
      </c>
      <c r="E12120" s="3" t="s">
        <v>222</v>
      </c>
      <c r="K12120" s="5"/>
    </row>
    <row r="12121">
      <c r="A12121" s="3" t="s">
        <v>9419</v>
      </c>
      <c r="B12121" s="3" t="s">
        <v>9399</v>
      </c>
      <c r="C12121" s="3" t="s">
        <v>9963</v>
      </c>
      <c r="D12121" s="4" t="str">
        <f t="shared" si="1819"/>
        <v>12Go Link</v>
      </c>
      <c r="E12121" s="3" t="s">
        <v>6599</v>
      </c>
      <c r="K12121" s="5"/>
    </row>
    <row r="12122">
      <c r="A12122" s="3" t="s">
        <v>9419</v>
      </c>
      <c r="B12122" s="3" t="s">
        <v>9399</v>
      </c>
      <c r="C12122" s="3" t="s">
        <v>9963</v>
      </c>
      <c r="D12122" s="4" t="str">
        <f t="shared" si="1819"/>
        <v>12Go Link</v>
      </c>
      <c r="E12122" s="3" t="s">
        <v>9395</v>
      </c>
      <c r="K12122" s="5"/>
    </row>
    <row r="12123">
      <c r="A12123" s="3" t="s">
        <v>9419</v>
      </c>
      <c r="B12123" s="3" t="s">
        <v>9399</v>
      </c>
      <c r="C12123" s="3" t="s">
        <v>9963</v>
      </c>
      <c r="D12123" s="4" t="str">
        <f t="shared" si="1819"/>
        <v>12Go Link</v>
      </c>
      <c r="E12123" s="3" t="s">
        <v>9396</v>
      </c>
      <c r="K12123" s="5"/>
    </row>
    <row r="12124">
      <c r="A12124" s="3" t="s">
        <v>9419</v>
      </c>
      <c r="B12124" s="3" t="s">
        <v>9399</v>
      </c>
      <c r="C12124" s="3" t="s">
        <v>9963</v>
      </c>
      <c r="D12124" s="4" t="str">
        <f t="shared" si="1819"/>
        <v>12Go Link</v>
      </c>
      <c r="E12124" s="3" t="s">
        <v>7470</v>
      </c>
      <c r="K12124" s="5"/>
    </row>
    <row r="12125">
      <c r="A12125" s="3" t="s">
        <v>9419</v>
      </c>
      <c r="B12125" s="3" t="s">
        <v>9582</v>
      </c>
      <c r="C12125" s="3" t="s">
        <v>9964</v>
      </c>
      <c r="D12125" s="4" t="str">
        <f t="shared" ref="D12125:D12126" si="1820">HYPERLINK("https://12go.asia/en/travel/Ben-xe-Mien-Tay/234-Tay-Son", "12Go Link")</f>
        <v>12Go Link</v>
      </c>
      <c r="E12125" s="3" t="s">
        <v>9538</v>
      </c>
      <c r="K12125" s="5"/>
    </row>
    <row r="12126">
      <c r="A12126" s="3" t="s">
        <v>9419</v>
      </c>
      <c r="B12126" s="3" t="s">
        <v>9582</v>
      </c>
      <c r="C12126" s="3" t="s">
        <v>9964</v>
      </c>
      <c r="D12126" s="4" t="str">
        <f t="shared" si="1820"/>
        <v>12Go Link</v>
      </c>
      <c r="E12126" s="3" t="s">
        <v>9449</v>
      </c>
      <c r="K12126" s="5"/>
    </row>
    <row r="12127">
      <c r="A12127" s="3" t="s">
        <v>9419</v>
      </c>
      <c r="B12127" s="3" t="s">
        <v>9965</v>
      </c>
      <c r="C12127" s="3" t="s">
        <v>9966</v>
      </c>
      <c r="D12127" s="4" t="str">
        <f t="shared" ref="D12127:D12131" si="1821">HYPERLINK("https://12go.asia/en/travel/Ho-Chi-Minh/Moc-Bai", "12Go Link")</f>
        <v>12Go Link</v>
      </c>
      <c r="E12127" s="3" t="s">
        <v>222</v>
      </c>
      <c r="K12127" s="5"/>
    </row>
    <row r="12128">
      <c r="A12128" s="3" t="s">
        <v>9419</v>
      </c>
      <c r="B12128" s="3" t="s">
        <v>9965</v>
      </c>
      <c r="C12128" s="3" t="s">
        <v>9966</v>
      </c>
      <c r="D12128" s="4" t="str">
        <f t="shared" si="1821"/>
        <v>12Go Link</v>
      </c>
      <c r="E12128" s="3" t="s">
        <v>6599</v>
      </c>
      <c r="K12128" s="5"/>
    </row>
    <row r="12129">
      <c r="A12129" s="3" t="s">
        <v>9419</v>
      </c>
      <c r="B12129" s="3" t="s">
        <v>9965</v>
      </c>
      <c r="C12129" s="3" t="s">
        <v>9966</v>
      </c>
      <c r="D12129" s="4" t="str">
        <f t="shared" si="1821"/>
        <v>12Go Link</v>
      </c>
      <c r="E12129" s="3" t="s">
        <v>9395</v>
      </c>
      <c r="K12129" s="5"/>
    </row>
    <row r="12130">
      <c r="A12130" s="3" t="s">
        <v>9419</v>
      </c>
      <c r="B12130" s="3" t="s">
        <v>9965</v>
      </c>
      <c r="C12130" s="3" t="s">
        <v>9966</v>
      </c>
      <c r="D12130" s="4" t="str">
        <f t="shared" si="1821"/>
        <v>12Go Link</v>
      </c>
      <c r="E12130" s="3" t="s">
        <v>9396</v>
      </c>
      <c r="K12130" s="5"/>
    </row>
    <row r="12131">
      <c r="A12131" s="3" t="s">
        <v>9419</v>
      </c>
      <c r="B12131" s="3" t="s">
        <v>9965</v>
      </c>
      <c r="C12131" s="3" t="s">
        <v>9966</v>
      </c>
      <c r="D12131" s="4" t="str">
        <f t="shared" si="1821"/>
        <v>12Go Link</v>
      </c>
      <c r="E12131" s="3" t="s">
        <v>7470</v>
      </c>
      <c r="K12131" s="5"/>
    </row>
    <row r="12132">
      <c r="A12132" s="3" t="s">
        <v>9419</v>
      </c>
      <c r="B12132" s="3" t="s">
        <v>9965</v>
      </c>
      <c r="C12132" s="3" t="s">
        <v>9967</v>
      </c>
      <c r="D12132" s="4" t="str">
        <f t="shared" ref="D12132:D12136" si="1822">HYPERLINK("https://12go.asia/en/travel/Ho-Chi-Minh/Tay-Ninh", "12Go Link")</f>
        <v>12Go Link</v>
      </c>
      <c r="E12132" s="3" t="s">
        <v>222</v>
      </c>
      <c r="K12132" s="5"/>
    </row>
    <row r="12133">
      <c r="A12133" s="3" t="s">
        <v>9419</v>
      </c>
      <c r="B12133" s="3" t="s">
        <v>9965</v>
      </c>
      <c r="C12133" s="3" t="s">
        <v>9967</v>
      </c>
      <c r="D12133" s="4" t="str">
        <f t="shared" si="1822"/>
        <v>12Go Link</v>
      </c>
      <c r="E12133" s="3" t="s">
        <v>6599</v>
      </c>
      <c r="K12133" s="5"/>
    </row>
    <row r="12134">
      <c r="A12134" s="3" t="s">
        <v>9419</v>
      </c>
      <c r="B12134" s="3" t="s">
        <v>9965</v>
      </c>
      <c r="C12134" s="3" t="s">
        <v>9967</v>
      </c>
      <c r="D12134" s="4" t="str">
        <f t="shared" si="1822"/>
        <v>12Go Link</v>
      </c>
      <c r="E12134" s="3" t="s">
        <v>9395</v>
      </c>
      <c r="K12134" s="5"/>
    </row>
    <row r="12135">
      <c r="A12135" s="3" t="s">
        <v>9419</v>
      </c>
      <c r="B12135" s="3" t="s">
        <v>9965</v>
      </c>
      <c r="C12135" s="3" t="s">
        <v>9967</v>
      </c>
      <c r="D12135" s="4" t="str">
        <f t="shared" si="1822"/>
        <v>12Go Link</v>
      </c>
      <c r="E12135" s="3" t="s">
        <v>9396</v>
      </c>
      <c r="K12135" s="5"/>
    </row>
    <row r="12136">
      <c r="A12136" s="3" t="s">
        <v>9419</v>
      </c>
      <c r="B12136" s="3" t="s">
        <v>9965</v>
      </c>
      <c r="C12136" s="3" t="s">
        <v>9967</v>
      </c>
      <c r="D12136" s="4" t="str">
        <f t="shared" si="1822"/>
        <v>12Go Link</v>
      </c>
      <c r="E12136" s="3" t="s">
        <v>7470</v>
      </c>
      <c r="K12136" s="5"/>
    </row>
    <row r="12137">
      <c r="A12137" s="3" t="s">
        <v>9419</v>
      </c>
      <c r="B12137" s="3" t="s">
        <v>9965</v>
      </c>
      <c r="C12137" s="3" t="s">
        <v>9968</v>
      </c>
      <c r="D12137" s="4" t="str">
        <f t="shared" ref="D12137:D12141" si="1823">HYPERLINK("https://12go.asia/en/travel/Ho-Chi-Minh-City-Airport/Moc-Bai", "12Go Link")</f>
        <v>12Go Link</v>
      </c>
      <c r="E12137" s="3" t="s">
        <v>222</v>
      </c>
      <c r="K12137" s="5"/>
    </row>
    <row r="12138">
      <c r="A12138" s="3" t="s">
        <v>9419</v>
      </c>
      <c r="B12138" s="3" t="s">
        <v>9965</v>
      </c>
      <c r="C12138" s="3" t="s">
        <v>9968</v>
      </c>
      <c r="D12138" s="4" t="str">
        <f t="shared" si="1823"/>
        <v>12Go Link</v>
      </c>
      <c r="E12138" s="3" t="s">
        <v>6599</v>
      </c>
      <c r="K12138" s="5"/>
    </row>
    <row r="12139">
      <c r="A12139" s="3" t="s">
        <v>9419</v>
      </c>
      <c r="B12139" s="3" t="s">
        <v>9965</v>
      </c>
      <c r="C12139" s="3" t="s">
        <v>9968</v>
      </c>
      <c r="D12139" s="4" t="str">
        <f t="shared" si="1823"/>
        <v>12Go Link</v>
      </c>
      <c r="E12139" s="3" t="s">
        <v>9395</v>
      </c>
      <c r="K12139" s="5"/>
    </row>
    <row r="12140">
      <c r="A12140" s="3" t="s">
        <v>9419</v>
      </c>
      <c r="B12140" s="3" t="s">
        <v>9965</v>
      </c>
      <c r="C12140" s="3" t="s">
        <v>9968</v>
      </c>
      <c r="D12140" s="4" t="str">
        <f t="shared" si="1823"/>
        <v>12Go Link</v>
      </c>
      <c r="E12140" s="3" t="s">
        <v>9396</v>
      </c>
      <c r="K12140" s="5"/>
    </row>
    <row r="12141">
      <c r="A12141" s="3" t="s">
        <v>9419</v>
      </c>
      <c r="B12141" s="3" t="s">
        <v>9965</v>
      </c>
      <c r="C12141" s="3" t="s">
        <v>9968</v>
      </c>
      <c r="D12141" s="4" t="str">
        <f t="shared" si="1823"/>
        <v>12Go Link</v>
      </c>
      <c r="E12141" s="3" t="s">
        <v>7470</v>
      </c>
      <c r="K12141" s="5"/>
    </row>
    <row r="12142">
      <c r="A12142" s="3" t="s">
        <v>9419</v>
      </c>
      <c r="B12142" s="3" t="s">
        <v>9965</v>
      </c>
      <c r="C12142" s="3" t="s">
        <v>9969</v>
      </c>
      <c r="D12142" s="4" t="str">
        <f t="shared" ref="D12142:D12146" si="1824">HYPERLINK("https://12go.asia/en/travel/Ho-Chi-Minh-City-Airport/Tay-Ninh", "12Go Link")</f>
        <v>12Go Link</v>
      </c>
      <c r="E12142" s="3" t="s">
        <v>222</v>
      </c>
      <c r="K12142" s="5"/>
    </row>
    <row r="12143">
      <c r="A12143" s="3" t="s">
        <v>9419</v>
      </c>
      <c r="B12143" s="3" t="s">
        <v>9965</v>
      </c>
      <c r="C12143" s="3" t="s">
        <v>9969</v>
      </c>
      <c r="D12143" s="4" t="str">
        <f t="shared" si="1824"/>
        <v>12Go Link</v>
      </c>
      <c r="E12143" s="3" t="s">
        <v>6599</v>
      </c>
      <c r="K12143" s="5"/>
    </row>
    <row r="12144">
      <c r="A12144" s="3" t="s">
        <v>9419</v>
      </c>
      <c r="B12144" s="3" t="s">
        <v>9965</v>
      </c>
      <c r="C12144" s="3" t="s">
        <v>9969</v>
      </c>
      <c r="D12144" s="4" t="str">
        <f t="shared" si="1824"/>
        <v>12Go Link</v>
      </c>
      <c r="E12144" s="3" t="s">
        <v>9395</v>
      </c>
      <c r="K12144" s="5"/>
    </row>
    <row r="12145">
      <c r="A12145" s="3" t="s">
        <v>9419</v>
      </c>
      <c r="B12145" s="3" t="s">
        <v>9965</v>
      </c>
      <c r="C12145" s="3" t="s">
        <v>9969</v>
      </c>
      <c r="D12145" s="4" t="str">
        <f t="shared" si="1824"/>
        <v>12Go Link</v>
      </c>
      <c r="E12145" s="3" t="s">
        <v>9396</v>
      </c>
      <c r="K12145" s="5"/>
    </row>
    <row r="12146">
      <c r="A12146" s="3" t="s">
        <v>9419</v>
      </c>
      <c r="B12146" s="3" t="s">
        <v>9965</v>
      </c>
      <c r="C12146" s="3" t="s">
        <v>9969</v>
      </c>
      <c r="D12146" s="4" t="str">
        <f t="shared" si="1824"/>
        <v>12Go Link</v>
      </c>
      <c r="E12146" s="3" t="s">
        <v>7470</v>
      </c>
      <c r="K12146" s="5"/>
    </row>
    <row r="12147">
      <c r="A12147" s="3" t="s">
        <v>9419</v>
      </c>
      <c r="B12147" s="3" t="s">
        <v>9970</v>
      </c>
      <c r="C12147" s="3" t="s">
        <v>9971</v>
      </c>
      <c r="D12147" s="4" t="str">
        <f t="shared" ref="D12147:D12151" si="1825">HYPERLINK("https://12go.asia/en/travel/Ho-Chi-Minh/Vung-Tau", "12Go Link")</f>
        <v>12Go Link</v>
      </c>
      <c r="E12147" s="3" t="s">
        <v>222</v>
      </c>
      <c r="K12147" s="5"/>
    </row>
    <row r="12148">
      <c r="A12148" s="3" t="s">
        <v>9419</v>
      </c>
      <c r="B12148" s="3" t="s">
        <v>9970</v>
      </c>
      <c r="C12148" s="3" t="s">
        <v>9971</v>
      </c>
      <c r="D12148" s="4" t="str">
        <f t="shared" si="1825"/>
        <v>12Go Link</v>
      </c>
      <c r="E12148" s="3" t="s">
        <v>6599</v>
      </c>
      <c r="K12148" s="5"/>
    </row>
    <row r="12149">
      <c r="A12149" s="3" t="s">
        <v>9419</v>
      </c>
      <c r="B12149" s="3" t="s">
        <v>9970</v>
      </c>
      <c r="C12149" s="3" t="s">
        <v>9971</v>
      </c>
      <c r="D12149" s="4" t="str">
        <f t="shared" si="1825"/>
        <v>12Go Link</v>
      </c>
      <c r="E12149" s="3" t="s">
        <v>9395</v>
      </c>
      <c r="K12149" s="5"/>
    </row>
    <row r="12150">
      <c r="A12150" s="3" t="s">
        <v>9419</v>
      </c>
      <c r="B12150" s="3" t="s">
        <v>9970</v>
      </c>
      <c r="C12150" s="3" t="s">
        <v>9971</v>
      </c>
      <c r="D12150" s="4" t="str">
        <f t="shared" si="1825"/>
        <v>12Go Link</v>
      </c>
      <c r="E12150" s="3" t="s">
        <v>9396</v>
      </c>
      <c r="K12150" s="5"/>
    </row>
    <row r="12151">
      <c r="A12151" s="3" t="s">
        <v>9419</v>
      </c>
      <c r="B12151" s="3" t="s">
        <v>9970</v>
      </c>
      <c r="C12151" s="3" t="s">
        <v>9971</v>
      </c>
      <c r="D12151" s="4" t="str">
        <f t="shared" si="1825"/>
        <v>12Go Link</v>
      </c>
      <c r="E12151" s="3" t="s">
        <v>7470</v>
      </c>
      <c r="K12151" s="5"/>
    </row>
    <row r="12152">
      <c r="A12152" s="3" t="s">
        <v>9419</v>
      </c>
      <c r="B12152" s="3" t="s">
        <v>9970</v>
      </c>
      <c r="C12152" s="3" t="s">
        <v>9972</v>
      </c>
      <c r="D12152" s="4" t="str">
        <f t="shared" ref="D12152:D12156" si="1826">HYPERLINK("https://12go.asia/en/travel/Ho-Chi-Minh-City-Airport/Vung-Tau", "12Go Link")</f>
        <v>12Go Link</v>
      </c>
      <c r="E12152" s="3" t="s">
        <v>222</v>
      </c>
      <c r="K12152" s="5"/>
    </row>
    <row r="12153">
      <c r="A12153" s="3" t="s">
        <v>9419</v>
      </c>
      <c r="B12153" s="3" t="s">
        <v>9970</v>
      </c>
      <c r="C12153" s="3" t="s">
        <v>9972</v>
      </c>
      <c r="D12153" s="4" t="str">
        <f t="shared" si="1826"/>
        <v>12Go Link</v>
      </c>
      <c r="E12153" s="3" t="s">
        <v>6599</v>
      </c>
      <c r="K12153" s="5"/>
    </row>
    <row r="12154">
      <c r="A12154" s="3" t="s">
        <v>9419</v>
      </c>
      <c r="B12154" s="3" t="s">
        <v>9970</v>
      </c>
      <c r="C12154" s="3" t="s">
        <v>9972</v>
      </c>
      <c r="D12154" s="4" t="str">
        <f t="shared" si="1826"/>
        <v>12Go Link</v>
      </c>
      <c r="E12154" s="3" t="s">
        <v>9395</v>
      </c>
      <c r="K12154" s="5"/>
    </row>
    <row r="12155">
      <c r="A12155" s="3" t="s">
        <v>9419</v>
      </c>
      <c r="B12155" s="3" t="s">
        <v>9970</v>
      </c>
      <c r="C12155" s="3" t="s">
        <v>9972</v>
      </c>
      <c r="D12155" s="4" t="str">
        <f t="shared" si="1826"/>
        <v>12Go Link</v>
      </c>
      <c r="E12155" s="3" t="s">
        <v>9396</v>
      </c>
      <c r="K12155" s="5"/>
    </row>
    <row r="12156">
      <c r="A12156" s="3" t="s">
        <v>9419</v>
      </c>
      <c r="B12156" s="3" t="s">
        <v>9970</v>
      </c>
      <c r="C12156" s="3" t="s">
        <v>9972</v>
      </c>
      <c r="D12156" s="4" t="str">
        <f t="shared" si="1826"/>
        <v>12Go Link</v>
      </c>
      <c r="E12156" s="3" t="s">
        <v>7470</v>
      </c>
      <c r="K12156" s="5"/>
    </row>
    <row r="12157">
      <c r="A12157" s="3" t="s">
        <v>9487</v>
      </c>
      <c r="B12157" s="3" t="s">
        <v>9372</v>
      </c>
      <c r="C12157" s="3" t="s">
        <v>9973</v>
      </c>
      <c r="D12157" s="4" t="str">
        <f t="shared" ref="D12157:D12158" si="1827">HYPERLINK("https://12go.asia/en/travel/Pool-Side-Villa/Da-Lat-Bus-Station", "12Go Link")</f>
        <v>12Go Link</v>
      </c>
      <c r="E12157" s="3" t="s">
        <v>9449</v>
      </c>
      <c r="K12157" s="5"/>
    </row>
    <row r="12158">
      <c r="A12158" s="3" t="s">
        <v>9487</v>
      </c>
      <c r="B12158" s="3" t="s">
        <v>9372</v>
      </c>
      <c r="C12158" s="3" t="s">
        <v>9973</v>
      </c>
      <c r="D12158" s="4" t="str">
        <f t="shared" si="1827"/>
        <v>12Go Link</v>
      </c>
      <c r="E12158" s="3" t="s">
        <v>9450</v>
      </c>
      <c r="K12158" s="5"/>
    </row>
    <row r="12159">
      <c r="A12159" s="3" t="s">
        <v>9487</v>
      </c>
      <c r="B12159" s="3" t="s">
        <v>9447</v>
      </c>
      <c r="C12159" s="3" t="s">
        <v>9974</v>
      </c>
      <c r="D12159" s="4" t="str">
        <f>HYPERLINK("https://12go.asia/en/travel/103-Ton-Duc-Thang/70-Hoang-Van-Thai", "12Go Link")</f>
        <v>12Go Link</v>
      </c>
      <c r="E12159" s="3" t="s">
        <v>9530</v>
      </c>
      <c r="K12159" s="5"/>
    </row>
    <row r="12160">
      <c r="A12160" s="3" t="s">
        <v>9487</v>
      </c>
      <c r="B12160" s="3" t="s">
        <v>9447</v>
      </c>
      <c r="C12160" s="3" t="s">
        <v>9975</v>
      </c>
      <c r="D12160" s="4" t="str">
        <f t="shared" ref="D12160:D12162" si="1828">HYPERLINK("https://12go.asia/en/travel/23-Nguyen-Tat-Thanh/41-February-3rd-Street", "12Go Link")</f>
        <v>12Go Link</v>
      </c>
      <c r="E12160" s="3" t="s">
        <v>9374</v>
      </c>
      <c r="K12160" s="5"/>
    </row>
    <row r="12161">
      <c r="A12161" s="3" t="s">
        <v>9487</v>
      </c>
      <c r="B12161" s="3" t="s">
        <v>9447</v>
      </c>
      <c r="C12161" s="3" t="s">
        <v>9975</v>
      </c>
      <c r="D12161" s="4" t="str">
        <f t="shared" si="1828"/>
        <v>12Go Link</v>
      </c>
      <c r="E12161" s="3" t="s">
        <v>9544</v>
      </c>
      <c r="K12161" s="5"/>
    </row>
    <row r="12162">
      <c r="A12162" s="3" t="s">
        <v>9487</v>
      </c>
      <c r="B12162" s="3" t="s">
        <v>9447</v>
      </c>
      <c r="C12162" s="3" t="s">
        <v>9975</v>
      </c>
      <c r="D12162" s="4" t="str">
        <f t="shared" si="1828"/>
        <v>12Go Link</v>
      </c>
      <c r="E12162" s="3" t="s">
        <v>9470</v>
      </c>
      <c r="K12162" s="5"/>
    </row>
    <row r="12163">
      <c r="A12163" s="3" t="s">
        <v>9487</v>
      </c>
      <c r="B12163" s="3" t="s">
        <v>9447</v>
      </c>
      <c r="C12163" s="3" t="s">
        <v>9976</v>
      </c>
      <c r="D12163" s="4" t="str">
        <f>HYPERLINK("https://12go.asia/en/travel/23-Nguyen-Tat-Thanh/Danava-Travel-16-Road-32", "12Go Link")</f>
        <v>12Go Link</v>
      </c>
      <c r="E12163" s="3" t="s">
        <v>9374</v>
      </c>
      <c r="K12163" s="5"/>
    </row>
    <row r="12164">
      <c r="A12164" s="3" t="s">
        <v>9487</v>
      </c>
      <c r="B12164" s="3" t="s">
        <v>9447</v>
      </c>
      <c r="C12164" s="3" t="s">
        <v>9977</v>
      </c>
      <c r="D12164" s="4" t="str">
        <f>HYPERLINK("https://12go.asia/en/travel/Hoi-An-487-Hai-Ba-Trung-street/A-La-Carte-Danang-Beach", "12Go Link")</f>
        <v>12Go Link</v>
      </c>
      <c r="E12164" s="3" t="s">
        <v>9491</v>
      </c>
      <c r="K12164" s="5"/>
    </row>
    <row r="12165">
      <c r="A12165" s="3" t="s">
        <v>9487</v>
      </c>
      <c r="B12165" s="3" t="s">
        <v>9447</v>
      </c>
      <c r="C12165" s="3" t="s">
        <v>9978</v>
      </c>
      <c r="D12165" s="4" t="str">
        <f>HYPERLINK("https://12go.asia/en/travel/Hoi-An-487-Hai-Ba-Trung-street/Holiday-Beach-Da-Nang-Station", "12Go Link")</f>
        <v>12Go Link</v>
      </c>
      <c r="E12165" s="3" t="s">
        <v>9491</v>
      </c>
      <c r="K12165" s="5"/>
    </row>
    <row r="12166">
      <c r="A12166" s="3" t="s">
        <v>9487</v>
      </c>
      <c r="B12166" s="3" t="s">
        <v>9447</v>
      </c>
      <c r="C12166" s="3" t="s">
        <v>9979</v>
      </c>
      <c r="D12166" s="4" t="str">
        <f>HYPERLINK("https://12go.asia/en/travel/Hoi-An-An-Bang-Beach/Da-Nang-City-Center-at-Cham-Museum", "12Go Link")</f>
        <v>12Go Link</v>
      </c>
      <c r="E12166" s="3" t="s">
        <v>9607</v>
      </c>
      <c r="K12166" s="5"/>
    </row>
    <row r="12167">
      <c r="A12167" s="3" t="s">
        <v>9487</v>
      </c>
      <c r="B12167" s="3" t="s">
        <v>9447</v>
      </c>
      <c r="C12167" s="3" t="s">
        <v>9980</v>
      </c>
      <c r="D12167" s="4" t="str">
        <f>HYPERLINK("https://12go.asia/en/travel/Hoi-An-An-Bang-Beach/Da-Nang-International-Airport", "12Go Link")</f>
        <v>12Go Link</v>
      </c>
      <c r="E12167" s="3" t="s">
        <v>9607</v>
      </c>
      <c r="K12167" s="5"/>
    </row>
    <row r="12168">
      <c r="A12168" s="3" t="s">
        <v>9487</v>
      </c>
      <c r="B12168" s="3" t="s">
        <v>9447</v>
      </c>
      <c r="C12168" s="3" t="s">
        <v>9981</v>
      </c>
      <c r="D12168" s="4" t="str">
        <f>HYPERLINK("https://12go.asia/en/travel/Hoi-An-Old-Town-Bus-Stop-at-01-Dao-Duy-Tu-street/A-La-Carte-Danang-Beach", "12Go Link")</f>
        <v>12Go Link</v>
      </c>
      <c r="E12168" s="3" t="s">
        <v>9805</v>
      </c>
      <c r="K12168" s="5"/>
    </row>
    <row r="12169">
      <c r="A12169" s="3" t="s">
        <v>9487</v>
      </c>
      <c r="B12169" s="3" t="s">
        <v>9447</v>
      </c>
      <c r="C12169" s="3" t="s">
        <v>9982</v>
      </c>
      <c r="D12169" s="4" t="str">
        <f>HYPERLINK("https://12go.asia/en/travel/Hoi-An-Old-Town-Bus-Stop-at-01-Dao-Duy-Tu-street/Da-Nang-City-Center-at-Cham-Museum", "12Go Link")</f>
        <v>12Go Link</v>
      </c>
      <c r="E12169" s="3" t="s">
        <v>9805</v>
      </c>
      <c r="K12169" s="5"/>
    </row>
    <row r="12170">
      <c r="A12170" s="3" t="s">
        <v>9487</v>
      </c>
      <c r="B12170" s="3" t="s">
        <v>9447</v>
      </c>
      <c r="C12170" s="3" t="s">
        <v>9983</v>
      </c>
      <c r="D12170" s="4" t="str">
        <f>HYPERLINK("https://12go.asia/en/travel/Hoi-An-Old-Town-Bus-Stop-at-01-Dao-Duy-Tu-street/Da-Nang-International-Airport", "12Go Link")</f>
        <v>12Go Link</v>
      </c>
      <c r="E12170" s="3" t="s">
        <v>9805</v>
      </c>
      <c r="K12170" s="5"/>
    </row>
    <row r="12171">
      <c r="A12171" s="3" t="s">
        <v>9487</v>
      </c>
      <c r="B12171" s="3" t="s">
        <v>9447</v>
      </c>
      <c r="C12171" s="3" t="s">
        <v>9984</v>
      </c>
      <c r="D12171" s="4" t="str">
        <f>HYPERLINK("https://12go.asia/en/travel/Hoi-An-Old-Town-Bus-Stop-at-01-Dao-Duy-Tu-street/Holiday-Beach-Da-Nang-Station", "12Go Link")</f>
        <v>12Go Link</v>
      </c>
      <c r="E12171" s="3" t="s">
        <v>9607</v>
      </c>
      <c r="K12171" s="5"/>
    </row>
    <row r="12172">
      <c r="A12172" s="3" t="s">
        <v>9487</v>
      </c>
      <c r="B12172" s="3" t="s">
        <v>9447</v>
      </c>
      <c r="C12172" s="3" t="s">
        <v>9985</v>
      </c>
      <c r="D12172" s="4" t="str">
        <f>HYPERLINK("https://12go.asia/en/travel/Tbus-Hoian/Danava-Travel", "12Go Link")</f>
        <v>12Go Link</v>
      </c>
      <c r="E12172" s="3" t="s">
        <v>9544</v>
      </c>
      <c r="K12172" s="5"/>
    </row>
    <row r="12173">
      <c r="A12173" s="3" t="s">
        <v>9487</v>
      </c>
      <c r="B12173" s="3" t="s">
        <v>9463</v>
      </c>
      <c r="C12173" s="3" t="s">
        <v>9986</v>
      </c>
      <c r="D12173" s="4" t="str">
        <f>HYPERLINK("https://12go.asia/en/travel/SDT-Hoi-An-Office/Thang-Long-Hotel", "12Go Link")</f>
        <v>12Go Link</v>
      </c>
      <c r="E12173" s="3" t="s">
        <v>9591</v>
      </c>
      <c r="K12173" s="5"/>
    </row>
    <row r="12174">
      <c r="A12174" s="3" t="s">
        <v>9487</v>
      </c>
      <c r="B12174" s="3" t="s">
        <v>9466</v>
      </c>
      <c r="C12174" s="3" t="s">
        <v>9987</v>
      </c>
      <c r="D12174" s="4" t="str">
        <f>HYPERLINK("https://12go.asia/en/travel/105-Ton-Duc-Thang/12-Pham-Van-Dong", "12Go Link")</f>
        <v>12Go Link</v>
      </c>
      <c r="E12174" s="3" t="s">
        <v>9449</v>
      </c>
      <c r="K12174" s="5"/>
    </row>
    <row r="12175">
      <c r="A12175" s="3" t="s">
        <v>9487</v>
      </c>
      <c r="B12175" s="3" t="s">
        <v>9466</v>
      </c>
      <c r="C12175" s="3" t="s">
        <v>9988</v>
      </c>
      <c r="D12175" s="4" t="str">
        <f t="shared" ref="D12175:D12176" si="1829">HYPERLINK("https://12go.asia/en/travel/105-Ton-Duc-Thang/My-Dinh-Bus-Station", "12Go Link")</f>
        <v>12Go Link</v>
      </c>
      <c r="E12175" s="3" t="s">
        <v>9374</v>
      </c>
      <c r="K12175" s="5"/>
    </row>
    <row r="12176">
      <c r="A12176" s="3" t="s">
        <v>9487</v>
      </c>
      <c r="B12176" s="3" t="s">
        <v>9466</v>
      </c>
      <c r="C12176" s="3" t="s">
        <v>9988</v>
      </c>
      <c r="D12176" s="4" t="str">
        <f t="shared" si="1829"/>
        <v>12Go Link</v>
      </c>
      <c r="E12176" s="3" t="s">
        <v>9470</v>
      </c>
      <c r="K12176" s="5"/>
    </row>
    <row r="12177">
      <c r="A12177" s="3" t="s">
        <v>9487</v>
      </c>
      <c r="B12177" s="3" t="s">
        <v>9466</v>
      </c>
      <c r="C12177" s="3" t="s">
        <v>9989</v>
      </c>
      <c r="D12177" s="4" t="str">
        <f>HYPERLINK("https://12go.asia/en/travel/137-Tran-Nhan-Tong/459-Tran-Khat-Chan", "12Go Link")</f>
        <v>12Go Link</v>
      </c>
      <c r="E12177" s="3" t="s">
        <v>9474</v>
      </c>
      <c r="K12177" s="5"/>
    </row>
    <row r="12178">
      <c r="A12178" s="3" t="s">
        <v>9487</v>
      </c>
      <c r="B12178" s="3" t="s">
        <v>9466</v>
      </c>
      <c r="C12178" s="3" t="s">
        <v>9990</v>
      </c>
      <c r="D12178" s="4" t="str">
        <f t="shared" ref="D12178:D12179" si="1830">HYPERLINK("https://12go.asia/en/travel/23-Nguyen-Tat-Thanh/1-Nguyen-Hoang-My-Dinh", "12Go Link")</f>
        <v>12Go Link</v>
      </c>
      <c r="E12178" s="3" t="s">
        <v>9374</v>
      </c>
      <c r="K12178" s="5"/>
    </row>
    <row r="12179">
      <c r="A12179" s="3" t="s">
        <v>9487</v>
      </c>
      <c r="B12179" s="3" t="s">
        <v>9466</v>
      </c>
      <c r="C12179" s="3" t="s">
        <v>9990</v>
      </c>
      <c r="D12179" s="4" t="str">
        <f t="shared" si="1830"/>
        <v>12Go Link</v>
      </c>
      <c r="E12179" s="3" t="s">
        <v>9470</v>
      </c>
      <c r="K12179" s="5"/>
    </row>
    <row r="12180">
      <c r="A12180" s="3" t="s">
        <v>9487</v>
      </c>
      <c r="B12180" s="3" t="s">
        <v>9466</v>
      </c>
      <c r="C12180" s="3" t="s">
        <v>9991</v>
      </c>
      <c r="D12180" s="4" t="str">
        <f t="shared" ref="D12180:D12181" si="1831">HYPERLINK("https://12go.asia/en/travel/23-Nguyen-Tat-Thanh/114-Tran-Nhat-Duat-Street", "12Go Link")</f>
        <v>12Go Link</v>
      </c>
      <c r="E12180" s="3" t="s">
        <v>9374</v>
      </c>
      <c r="K12180" s="5"/>
    </row>
    <row r="12181">
      <c r="A12181" s="3" t="s">
        <v>9487</v>
      </c>
      <c r="B12181" s="3" t="s">
        <v>9466</v>
      </c>
      <c r="C12181" s="3" t="s">
        <v>9991</v>
      </c>
      <c r="D12181" s="4" t="str">
        <f t="shared" si="1831"/>
        <v>12Go Link</v>
      </c>
      <c r="E12181" s="3" t="s">
        <v>9470</v>
      </c>
      <c r="K12181" s="5"/>
    </row>
    <row r="12182">
      <c r="A12182" s="3" t="s">
        <v>9487</v>
      </c>
      <c r="B12182" s="3" t="s">
        <v>9466</v>
      </c>
      <c r="C12182" s="3" t="s">
        <v>9992</v>
      </c>
      <c r="D12182" s="4" t="str">
        <f t="shared" ref="D12182:D12183" si="1832">HYPERLINK("https://12go.asia/en/travel/23-Nguyen-Tat-Thanh/My-Dinh-Bus-Station", "12Go Link")</f>
        <v>12Go Link</v>
      </c>
      <c r="E12182" s="3" t="s">
        <v>9374</v>
      </c>
      <c r="K12182" s="5"/>
    </row>
    <row r="12183">
      <c r="A12183" s="3" t="s">
        <v>9487</v>
      </c>
      <c r="B12183" s="3" t="s">
        <v>9466</v>
      </c>
      <c r="C12183" s="3" t="s">
        <v>9992</v>
      </c>
      <c r="D12183" s="4" t="str">
        <f t="shared" si="1832"/>
        <v>12Go Link</v>
      </c>
      <c r="E12183" s="3" t="s">
        <v>9470</v>
      </c>
      <c r="K12183" s="5"/>
    </row>
    <row r="12184">
      <c r="A12184" s="3" t="s">
        <v>9487</v>
      </c>
      <c r="B12184" s="3" t="s">
        <v>9466</v>
      </c>
      <c r="C12184" s="3" t="s">
        <v>9993</v>
      </c>
      <c r="D12184" s="4" t="str">
        <f>HYPERLINK("https://12go.asia/en/travel/Hoi-An-An-Phu/04-Hang-Chinh-Maison-Mackeno", "12Go Link")</f>
        <v>12Go Link</v>
      </c>
      <c r="E12184" s="3" t="s">
        <v>9633</v>
      </c>
      <c r="K12184" s="5"/>
    </row>
    <row r="12185">
      <c r="A12185" s="3" t="s">
        <v>9487</v>
      </c>
      <c r="B12185" s="3" t="s">
        <v>9466</v>
      </c>
      <c r="C12185" s="3" t="s">
        <v>9994</v>
      </c>
      <c r="D12185" s="4" t="str">
        <f>HYPERLINK("https://12go.asia/en/travel/Hoi-An-An-Phu/Hanoi-SSB", "12Go Link")</f>
        <v>12Go Link</v>
      </c>
      <c r="E12185" s="3" t="s">
        <v>9633</v>
      </c>
      <c r="K12185" s="5"/>
    </row>
    <row r="12186">
      <c r="A12186" s="3" t="s">
        <v>9487</v>
      </c>
      <c r="B12186" s="3" t="s">
        <v>9466</v>
      </c>
      <c r="C12186" s="3" t="s">
        <v>9995</v>
      </c>
      <c r="D12186" s="4" t="str">
        <f>HYPERLINK("https://12go.asia/en/travel/SDT-Hoi-An-Office/Nuoc-Ngam-Hanoi", "12Go Link")</f>
        <v>12Go Link</v>
      </c>
      <c r="E12186" s="3" t="s">
        <v>9449</v>
      </c>
      <c r="K12186" s="5"/>
    </row>
    <row r="12187">
      <c r="A12187" s="3" t="s">
        <v>9487</v>
      </c>
      <c r="B12187" s="3" t="s">
        <v>9419</v>
      </c>
      <c r="C12187" s="3" t="s">
        <v>9996</v>
      </c>
      <c r="D12187" s="4" t="str">
        <f>HYPERLINK("https://12go.asia/en/travel/445-Hai-Ba-Trung/Mien-Dong-Moi", "12Go Link")</f>
        <v>12Go Link</v>
      </c>
      <c r="E12187" s="3" t="s">
        <v>9535</v>
      </c>
      <c r="K12187" s="5"/>
    </row>
    <row r="12188">
      <c r="A12188" s="3" t="s">
        <v>9487</v>
      </c>
      <c r="B12188" s="3" t="s">
        <v>9419</v>
      </c>
      <c r="C12188" s="3" t="s">
        <v>9997</v>
      </c>
      <c r="D12188" s="4" t="str">
        <f>HYPERLINK("https://12go.asia/en/travel/Hoi-An-Office-95-Thich-Quang-Duc/An-Suong-Bus-Station", "12Go Link")</f>
        <v>12Go Link</v>
      </c>
      <c r="E12188" s="3" t="s">
        <v>9535</v>
      </c>
      <c r="K12188" s="5"/>
    </row>
    <row r="12189">
      <c r="A12189" s="3" t="s">
        <v>9487</v>
      </c>
      <c r="B12189" s="3" t="s">
        <v>9502</v>
      </c>
      <c r="C12189" s="3" t="s">
        <v>9998</v>
      </c>
      <c r="D12189" s="4" t="str">
        <f t="shared" ref="D12189:D12190" si="1833">HYPERLINK("https://12go.asia/en/travel/105-Ton-Duc-Thang/44-Chu-van-An-Street", "12Go Link")</f>
        <v>12Go Link</v>
      </c>
      <c r="E12189" s="3" t="s">
        <v>9374</v>
      </c>
      <c r="K12189" s="5"/>
    </row>
    <row r="12190">
      <c r="A12190" s="3" t="s">
        <v>9487</v>
      </c>
      <c r="B12190" s="3" t="s">
        <v>9502</v>
      </c>
      <c r="C12190" s="3" t="s">
        <v>9998</v>
      </c>
      <c r="D12190" s="4" t="str">
        <f t="shared" si="1833"/>
        <v>12Go Link</v>
      </c>
      <c r="E12190" s="3" t="s">
        <v>9470</v>
      </c>
      <c r="K12190" s="5"/>
    </row>
    <row r="12191">
      <c r="A12191" s="3" t="s">
        <v>9487</v>
      </c>
      <c r="B12191" s="3" t="s">
        <v>9502</v>
      </c>
      <c r="C12191" s="3" t="s">
        <v>9999</v>
      </c>
      <c r="D12191" s="4" t="str">
        <f>HYPERLINK("https://12go.asia/en/travel/137-Tran-Nhan-Tong/86-Nguyen-Sinh-Cung", "12Go Link")</f>
        <v>12Go Link</v>
      </c>
      <c r="E12191" s="3" t="s">
        <v>9474</v>
      </c>
      <c r="K12191" s="5"/>
    </row>
    <row r="12192">
      <c r="A12192" s="3" t="s">
        <v>9487</v>
      </c>
      <c r="B12192" s="3" t="s">
        <v>9502</v>
      </c>
      <c r="C12192" s="3" t="s">
        <v>10000</v>
      </c>
      <c r="D12192" s="4" t="str">
        <f>HYPERLINK("https://12go.asia/en/travel/23-Nguyen-Tat-Thanh/07-Doi-Cung", "12Go Link")</f>
        <v>12Go Link</v>
      </c>
      <c r="E12192" s="3" t="s">
        <v>9515</v>
      </c>
      <c r="K12192" s="5"/>
    </row>
    <row r="12193">
      <c r="A12193" s="3" t="s">
        <v>9487</v>
      </c>
      <c r="B12193" s="3" t="s">
        <v>9502</v>
      </c>
      <c r="C12193" s="3" t="s">
        <v>10001</v>
      </c>
      <c r="D12193" s="4" t="str">
        <f t="shared" ref="D12193:D12195" si="1834">HYPERLINK("https://12go.asia/en/travel/23-Nguyen-Tat-Thanh/44-Chu-van-An-Street", "12Go Link")</f>
        <v>12Go Link</v>
      </c>
      <c r="E12193" s="3" t="s">
        <v>9374</v>
      </c>
      <c r="K12193" s="5"/>
    </row>
    <row r="12194">
      <c r="A12194" s="3" t="s">
        <v>9487</v>
      </c>
      <c r="B12194" s="3" t="s">
        <v>9502</v>
      </c>
      <c r="C12194" s="3" t="s">
        <v>10001</v>
      </c>
      <c r="D12194" s="4" t="str">
        <f t="shared" si="1834"/>
        <v>12Go Link</v>
      </c>
      <c r="E12194" s="3" t="s">
        <v>9450</v>
      </c>
      <c r="K12194" s="5"/>
    </row>
    <row r="12195">
      <c r="A12195" s="3" t="s">
        <v>9487</v>
      </c>
      <c r="B12195" s="3" t="s">
        <v>9502</v>
      </c>
      <c r="C12195" s="3" t="s">
        <v>10001</v>
      </c>
      <c r="D12195" s="4" t="str">
        <f t="shared" si="1834"/>
        <v>12Go Link</v>
      </c>
      <c r="E12195" s="3" t="s">
        <v>9470</v>
      </c>
      <c r="K12195" s="5"/>
    </row>
    <row r="12196">
      <c r="A12196" s="3" t="s">
        <v>9487</v>
      </c>
      <c r="B12196" s="3" t="s">
        <v>9502</v>
      </c>
      <c r="C12196" s="3" t="s">
        <v>10002</v>
      </c>
      <c r="D12196" s="4" t="str">
        <f t="shared" ref="D12196:D12197" si="1835">HYPERLINK("https://12go.asia/en/travel/23-Nguyen-Tat-Thanh/7-Doi-Cung-Hue", "12Go Link")</f>
        <v>12Go Link</v>
      </c>
      <c r="E12196" s="3" t="s">
        <v>9374</v>
      </c>
      <c r="K12196" s="5"/>
    </row>
    <row r="12197">
      <c r="A12197" s="3" t="s">
        <v>9487</v>
      </c>
      <c r="B12197" s="3" t="s">
        <v>9502</v>
      </c>
      <c r="C12197" s="3" t="s">
        <v>10002</v>
      </c>
      <c r="D12197" s="4" t="str">
        <f t="shared" si="1835"/>
        <v>12Go Link</v>
      </c>
      <c r="E12197" s="3" t="s">
        <v>9470</v>
      </c>
      <c r="K12197" s="5"/>
    </row>
    <row r="12198">
      <c r="A12198" s="3" t="s">
        <v>9487</v>
      </c>
      <c r="B12198" s="3" t="s">
        <v>9502</v>
      </c>
      <c r="C12198" s="3" t="s">
        <v>10003</v>
      </c>
      <c r="D12198" s="4" t="str">
        <f>HYPERLINK("https://12go.asia/en/travel/23-Nguyen-Tat-Thanh/Benly-Cafe", "12Go Link")</f>
        <v>12Go Link</v>
      </c>
      <c r="E12198" s="3" t="s">
        <v>9374</v>
      </c>
      <c r="K12198" s="5"/>
    </row>
    <row r="12199">
      <c r="A12199" s="3" t="s">
        <v>9487</v>
      </c>
      <c r="B12199" s="3" t="s">
        <v>9502</v>
      </c>
      <c r="C12199" s="3" t="s">
        <v>10004</v>
      </c>
      <c r="D12199" s="4" t="str">
        <f>HYPERLINK("https://12go.asia/en/travel/23-Nguyen-Tat-Thanh/Benly-Cafe-3-Doi-Cung", "12Go Link")</f>
        <v>12Go Link</v>
      </c>
      <c r="E12199" s="3" t="s">
        <v>9374</v>
      </c>
      <c r="K12199" s="5"/>
    </row>
    <row r="12200">
      <c r="A12200" s="3" t="s">
        <v>9487</v>
      </c>
      <c r="B12200" s="3" t="s">
        <v>9502</v>
      </c>
      <c r="C12200" s="3" t="s">
        <v>10005</v>
      </c>
      <c r="D12200" s="4" t="str">
        <f t="shared" ref="D12200:D12201" si="1836">HYPERLINK("https://12go.asia/en/travel/23-Nguyen-Tat-Thanh/Benly-Coffee", "12Go Link")</f>
        <v>12Go Link</v>
      </c>
      <c r="E12200" s="3" t="s">
        <v>9374</v>
      </c>
      <c r="K12200" s="5"/>
    </row>
    <row r="12201">
      <c r="A12201" s="3" t="s">
        <v>9487</v>
      </c>
      <c r="B12201" s="3" t="s">
        <v>9502</v>
      </c>
      <c r="C12201" s="3" t="s">
        <v>10005</v>
      </c>
      <c r="D12201" s="4" t="str">
        <f t="shared" si="1836"/>
        <v>12Go Link</v>
      </c>
      <c r="E12201" s="3" t="s">
        <v>9470</v>
      </c>
      <c r="K12201" s="5"/>
    </row>
    <row r="12202">
      <c r="A12202" s="3" t="s">
        <v>9487</v>
      </c>
      <c r="B12202" s="3" t="s">
        <v>9502</v>
      </c>
      <c r="C12202" s="3" t="s">
        <v>10006</v>
      </c>
      <c r="D12202" s="4" t="str">
        <f>HYPERLINK("https://12go.asia/en/travel/23-Nguyen-Tat-Thanh/Hue-Northern-Bus-Station", "12Go Link")</f>
        <v>12Go Link</v>
      </c>
      <c r="E12202" s="3" t="s">
        <v>9374</v>
      </c>
      <c r="K12202" s="5"/>
    </row>
    <row r="12203">
      <c r="A12203" s="3" t="s">
        <v>9487</v>
      </c>
      <c r="B12203" s="3" t="s">
        <v>9502</v>
      </c>
      <c r="C12203" s="3" t="s">
        <v>10007</v>
      </c>
      <c r="D12203" s="4" t="str">
        <f>HYPERLINK("https://12go.asia/en/travel/23-Nguyen-Tat-Thanh/Nguyen-Hoang-Bus-Station", "12Go Link")</f>
        <v>12Go Link</v>
      </c>
      <c r="E12203" s="3" t="s">
        <v>9374</v>
      </c>
      <c r="K12203" s="5"/>
    </row>
    <row r="12204">
      <c r="A12204" s="3" t="s">
        <v>9487</v>
      </c>
      <c r="B12204" s="3" t="s">
        <v>9502</v>
      </c>
      <c r="C12204" s="3" t="s">
        <v>10008</v>
      </c>
      <c r="D12204" s="4" t="str">
        <f>HYPERLINK("https://12go.asia/en/travel/23-Nguyen-Tat-Thanh/Toa-Kham-Marina", "12Go Link")</f>
        <v>12Go Link</v>
      </c>
      <c r="E12204" s="3" t="s">
        <v>9374</v>
      </c>
      <c r="K12204" s="5"/>
    </row>
    <row r="12205">
      <c r="A12205" s="3" t="s">
        <v>9487</v>
      </c>
      <c r="B12205" s="3" t="s">
        <v>9502</v>
      </c>
      <c r="C12205" s="3" t="s">
        <v>10009</v>
      </c>
      <c r="D12205" s="4" t="str">
        <f t="shared" ref="D12205:D12208" si="1837">HYPERLINK("https://12go.asia/en/travel/Pool-Side-Villa/26-Nguyen-Hue", "12Go Link")</f>
        <v>12Go Link</v>
      </c>
      <c r="E12205" s="3" t="s">
        <v>9509</v>
      </c>
      <c r="K12205" s="5"/>
    </row>
    <row r="12206">
      <c r="A12206" s="3" t="s">
        <v>9487</v>
      </c>
      <c r="B12206" s="3" t="s">
        <v>9502</v>
      </c>
      <c r="C12206" s="3" t="s">
        <v>10009</v>
      </c>
      <c r="D12206" s="4" t="str">
        <f t="shared" si="1837"/>
        <v>12Go Link</v>
      </c>
      <c r="E12206" s="3" t="s">
        <v>9510</v>
      </c>
      <c r="K12206" s="5"/>
    </row>
    <row r="12207">
      <c r="A12207" s="3" t="s">
        <v>9487</v>
      </c>
      <c r="B12207" s="3" t="s">
        <v>9502</v>
      </c>
      <c r="C12207" s="3" t="s">
        <v>10009</v>
      </c>
      <c r="D12207" s="4" t="str">
        <f t="shared" si="1837"/>
        <v>12Go Link</v>
      </c>
      <c r="E12207" s="3" t="s">
        <v>9511</v>
      </c>
      <c r="K12207" s="5"/>
    </row>
    <row r="12208">
      <c r="A12208" s="3" t="s">
        <v>9487</v>
      </c>
      <c r="B12208" s="3" t="s">
        <v>9502</v>
      </c>
      <c r="C12208" s="3" t="s">
        <v>10009</v>
      </c>
      <c r="D12208" s="4" t="str">
        <f t="shared" si="1837"/>
        <v>12Go Link</v>
      </c>
      <c r="E12208" s="3" t="s">
        <v>9449</v>
      </c>
      <c r="K12208" s="5"/>
    </row>
    <row r="12209">
      <c r="A12209" s="3" t="s">
        <v>9487</v>
      </c>
      <c r="B12209" s="3" t="s">
        <v>9386</v>
      </c>
      <c r="C12209" s="3" t="s">
        <v>10010</v>
      </c>
      <c r="D12209" s="4" t="str">
        <f>HYPERLINK("https://12go.asia/en/travel/103-Ton-Duc-Thang/271-Nguyen-Tu-Luc", "12Go Link")</f>
        <v>12Go Link</v>
      </c>
      <c r="E12209" s="3" t="s">
        <v>9530</v>
      </c>
      <c r="K12209" s="5"/>
    </row>
    <row r="12210">
      <c r="A12210" s="3" t="s">
        <v>9487</v>
      </c>
      <c r="B12210" s="3" t="s">
        <v>9397</v>
      </c>
      <c r="C12210" s="3" t="s">
        <v>10011</v>
      </c>
      <c r="D12210" s="4" t="str">
        <f>HYPERLINK("https://12go.asia/en/travel/445-Hai-Ba-Trung/Nha-Trang-Nothern-Bus-Station", "12Go Link")</f>
        <v>12Go Link</v>
      </c>
      <c r="E12210" s="3" t="s">
        <v>9535</v>
      </c>
      <c r="K12210" s="5"/>
    </row>
    <row r="12211">
      <c r="A12211" s="3" t="s">
        <v>9487</v>
      </c>
      <c r="B12211" s="3" t="s">
        <v>9397</v>
      </c>
      <c r="C12211" s="3" t="s">
        <v>10012</v>
      </c>
      <c r="D12211" s="4" t="str">
        <f>HYPERLINK("https://12go.asia/en/travel/445-Hai-Ba-Trung/Nha-Trang-Southern-Bus-Station", "12Go Link")</f>
        <v>12Go Link</v>
      </c>
      <c r="E12211" s="3" t="s">
        <v>9535</v>
      </c>
      <c r="K12211" s="5"/>
    </row>
    <row r="12212">
      <c r="A12212" s="3" t="s">
        <v>9487</v>
      </c>
      <c r="B12212" s="3" t="s">
        <v>9397</v>
      </c>
      <c r="C12212" s="3" t="s">
        <v>10013</v>
      </c>
      <c r="D12212" s="4" t="str">
        <f>HYPERLINK("https://12go.asia/en/travel/Pool-Side-Villa/34-Thich-Quang-Duc", "12Go Link")</f>
        <v>12Go Link</v>
      </c>
      <c r="E12212" s="3" t="s">
        <v>9450</v>
      </c>
      <c r="K12212" s="5"/>
    </row>
    <row r="12213">
      <c r="A12213" s="3" t="s">
        <v>9487</v>
      </c>
      <c r="B12213" s="3" t="s">
        <v>9539</v>
      </c>
      <c r="C12213" s="3" t="s">
        <v>10014</v>
      </c>
      <c r="D12213" s="4" t="str">
        <f t="shared" ref="D12213:D12214" si="1838">HYPERLINK("https://12go.asia/en/travel/105-Ton-Duc-Thang/Mikes-Travel-Agency", "12Go Link")</f>
        <v>12Go Link</v>
      </c>
      <c r="E12213" s="3" t="s">
        <v>9544</v>
      </c>
      <c r="K12213" s="5"/>
    </row>
    <row r="12214">
      <c r="A12214" s="3" t="s">
        <v>9487</v>
      </c>
      <c r="B12214" s="3" t="s">
        <v>9539</v>
      </c>
      <c r="C12214" s="3" t="s">
        <v>10014</v>
      </c>
      <c r="D12214" s="4" t="str">
        <f t="shared" si="1838"/>
        <v>12Go Link</v>
      </c>
      <c r="E12214" s="3" t="s">
        <v>9449</v>
      </c>
      <c r="K12214" s="5"/>
    </row>
    <row r="12215">
      <c r="A12215" s="3" t="s">
        <v>9487</v>
      </c>
      <c r="B12215" s="3" t="s">
        <v>9539</v>
      </c>
      <c r="C12215" s="3" t="s">
        <v>10015</v>
      </c>
      <c r="D12215" s="4" t="str">
        <f>HYPERLINK("https://12go.asia/en/travel/105-Ton-Duc-Thang/Mr-Khanh-Travel-Agency-Ninh-Binh", "12Go Link")</f>
        <v>12Go Link</v>
      </c>
      <c r="E12215" s="3" t="s">
        <v>9546</v>
      </c>
      <c r="K12215" s="5"/>
    </row>
    <row r="12216">
      <c r="A12216" s="3" t="s">
        <v>9487</v>
      </c>
      <c r="B12216" s="3" t="s">
        <v>9539</v>
      </c>
      <c r="C12216" s="3" t="s">
        <v>10016</v>
      </c>
      <c r="D12216" s="4" t="str">
        <f>HYPERLINK("https://12go.asia/en/travel/105-Ton-Duc-Thang/Ninh-Phong-Ninh-Binh", "12Go Link")</f>
        <v>12Go Link</v>
      </c>
      <c r="E12216" s="3" t="s">
        <v>9449</v>
      </c>
      <c r="K12216" s="5"/>
    </row>
    <row r="12217">
      <c r="A12217" s="3" t="s">
        <v>9487</v>
      </c>
      <c r="B12217" s="3" t="s">
        <v>9539</v>
      </c>
      <c r="C12217" s="3" t="s">
        <v>10017</v>
      </c>
      <c r="D12217" s="4" t="str">
        <f>HYPERLINK("https://12go.asia/en/travel/105-Ton-Duc-Thang/Tam-Coc-NinhBinh", "12Go Link")</f>
        <v>12Go Link</v>
      </c>
      <c r="E12217" s="3" t="s">
        <v>9449</v>
      </c>
      <c r="K12217" s="5"/>
    </row>
    <row r="12218">
      <c r="A12218" s="3" t="s">
        <v>9487</v>
      </c>
      <c r="B12218" s="3" t="s">
        <v>9539</v>
      </c>
      <c r="C12218" s="3" t="s">
        <v>10018</v>
      </c>
      <c r="D12218" s="4" t="str">
        <f>HYPERLINK("https://12go.asia/en/travel/137-Tran-Nhan-Tong/Ninh-Binh-Central-Hotel", "12Go Link")</f>
        <v>12Go Link</v>
      </c>
      <c r="E12218" s="3" t="s">
        <v>9474</v>
      </c>
      <c r="K12218" s="5"/>
    </row>
    <row r="12219">
      <c r="A12219" s="3" t="s">
        <v>9487</v>
      </c>
      <c r="B12219" s="3" t="s">
        <v>9539</v>
      </c>
      <c r="C12219" s="3" t="s">
        <v>10019</v>
      </c>
      <c r="D12219" s="4" t="str">
        <f t="shared" ref="D12219:D12220" si="1839">HYPERLINK("https://12go.asia/en/travel/23-Nguyen-Tat-Thanh/Mikes-Travel-Agency", "12Go Link")</f>
        <v>12Go Link</v>
      </c>
      <c r="E12219" s="3" t="s">
        <v>9374</v>
      </c>
      <c r="K12219" s="5"/>
    </row>
    <row r="12220">
      <c r="A12220" s="3" t="s">
        <v>9487</v>
      </c>
      <c r="B12220" s="3" t="s">
        <v>9539</v>
      </c>
      <c r="C12220" s="3" t="s">
        <v>10019</v>
      </c>
      <c r="D12220" s="4" t="str">
        <f t="shared" si="1839"/>
        <v>12Go Link</v>
      </c>
      <c r="E12220" s="3" t="s">
        <v>9470</v>
      </c>
      <c r="K12220" s="5"/>
    </row>
    <row r="12221">
      <c r="A12221" s="3" t="s">
        <v>9487</v>
      </c>
      <c r="B12221" s="3" t="s">
        <v>9539</v>
      </c>
      <c r="C12221" s="3" t="s">
        <v>10020</v>
      </c>
      <c r="D12221" s="4" t="str">
        <f t="shared" ref="D12221:D12222" si="1840">HYPERLINK("https://12go.asia/en/travel/23-Nguyen-Tat-Thanh/Mr-Khanh-Travel-Agency-Ninh-Binh", "12Go Link")</f>
        <v>12Go Link</v>
      </c>
      <c r="E12221" s="3" t="s">
        <v>9374</v>
      </c>
      <c r="K12221" s="5"/>
    </row>
    <row r="12222">
      <c r="A12222" s="3" t="s">
        <v>9487</v>
      </c>
      <c r="B12222" s="3" t="s">
        <v>9539</v>
      </c>
      <c r="C12222" s="3" t="s">
        <v>10020</v>
      </c>
      <c r="D12222" s="4" t="str">
        <f t="shared" si="1840"/>
        <v>12Go Link</v>
      </c>
      <c r="E12222" s="3" t="s">
        <v>9470</v>
      </c>
      <c r="K12222" s="5"/>
    </row>
    <row r="12223">
      <c r="A12223" s="3" t="s">
        <v>9487</v>
      </c>
      <c r="B12223" s="3" t="s">
        <v>9539</v>
      </c>
      <c r="C12223" s="3" t="s">
        <v>10021</v>
      </c>
      <c r="D12223" s="4" t="str">
        <f t="shared" ref="D12223:D12224" si="1841">HYPERLINK("https://12go.asia/en/travel/23-Nguyen-Tat-Thanh/Ninh-Phong-Ninh-Binh", "12Go Link")</f>
        <v>12Go Link</v>
      </c>
      <c r="E12223" s="3" t="s">
        <v>9374</v>
      </c>
      <c r="K12223" s="5"/>
    </row>
    <row r="12224">
      <c r="A12224" s="3" t="s">
        <v>9487</v>
      </c>
      <c r="B12224" s="3" t="s">
        <v>9539</v>
      </c>
      <c r="C12224" s="3" t="s">
        <v>10021</v>
      </c>
      <c r="D12224" s="4" t="str">
        <f t="shared" si="1841"/>
        <v>12Go Link</v>
      </c>
      <c r="E12224" s="3" t="s">
        <v>9470</v>
      </c>
      <c r="K12224" s="5"/>
    </row>
    <row r="12225">
      <c r="A12225" s="3" t="s">
        <v>9487</v>
      </c>
      <c r="B12225" s="3" t="s">
        <v>9539</v>
      </c>
      <c r="C12225" s="3" t="s">
        <v>10022</v>
      </c>
      <c r="D12225" s="4" t="str">
        <f>HYPERLINK("https://12go.asia/en/travel/Hoi-An-An-Phu/Ninh-Binh-Luxury-SSB", "12Go Link")</f>
        <v>12Go Link</v>
      </c>
      <c r="E12225" s="3" t="s">
        <v>9633</v>
      </c>
      <c r="K12225" s="5"/>
    </row>
    <row r="12226">
      <c r="A12226" s="3" t="s">
        <v>9487</v>
      </c>
      <c r="B12226" s="3" t="s">
        <v>9539</v>
      </c>
      <c r="C12226" s="3" t="s">
        <v>10023</v>
      </c>
      <c r="D12226" s="4" t="str">
        <f>HYPERLINK("https://12go.asia/en/travel/Hoi-An-An-Phu/The-Long-Hotel-Tam-Coc", "12Go Link")</f>
        <v>12Go Link</v>
      </c>
      <c r="E12226" s="3" t="s">
        <v>9633</v>
      </c>
      <c r="K12226" s="5"/>
    </row>
    <row r="12227">
      <c r="A12227" s="3" t="s">
        <v>9487</v>
      </c>
      <c r="B12227" s="3" t="s">
        <v>9561</v>
      </c>
      <c r="C12227" s="3" t="s">
        <v>10024</v>
      </c>
      <c r="D12227" s="4" t="str">
        <f>HYPERLINK("https://12go.asia/en/travel/105-Ton-Duc-Thang/Central-Backpackers-Hostel-Phong-Nha", "12Go Link")</f>
        <v>12Go Link</v>
      </c>
      <c r="E12227" s="3" t="s">
        <v>9449</v>
      </c>
      <c r="K12227" s="5"/>
    </row>
    <row r="12228">
      <c r="A12228" s="3" t="s">
        <v>9487</v>
      </c>
      <c r="B12228" s="3" t="s">
        <v>9561</v>
      </c>
      <c r="C12228" s="3" t="s">
        <v>10025</v>
      </c>
      <c r="D12228" s="4" t="str">
        <f>HYPERLINK("https://12go.asia/en/travel/105-Ton-Duc-Thang/Nam-Anh-Hotel", "12Go Link")</f>
        <v>12Go Link</v>
      </c>
      <c r="E12228" s="3" t="s">
        <v>9449</v>
      </c>
      <c r="K12228" s="5"/>
    </row>
    <row r="12229">
      <c r="A12229" s="3" t="s">
        <v>9487</v>
      </c>
      <c r="B12229" s="3" t="s">
        <v>9561</v>
      </c>
      <c r="C12229" s="3" t="s">
        <v>10026</v>
      </c>
      <c r="D12229" s="4" t="str">
        <f>HYPERLINK("https://12go.asia/en/travel/105-Ton-Duc-Thang/Thien-Phu-Hostel", "12Go Link")</f>
        <v>12Go Link</v>
      </c>
      <c r="E12229" s="3" t="s">
        <v>9449</v>
      </c>
      <c r="K12229" s="5"/>
    </row>
    <row r="12230">
      <c r="A12230" s="3" t="s">
        <v>9487</v>
      </c>
      <c r="B12230" s="3" t="s">
        <v>9561</v>
      </c>
      <c r="C12230" s="3" t="s">
        <v>10027</v>
      </c>
      <c r="D12230" s="4" t="str">
        <f t="shared" ref="D12230:D12232" si="1842">HYPERLINK("https://12go.asia/en/travel/23-Nguyen-Tat-Thanh/Nam-Anh-Hotel", "12Go Link")</f>
        <v>12Go Link</v>
      </c>
      <c r="E12230" s="3" t="s">
        <v>9374</v>
      </c>
      <c r="K12230" s="5"/>
    </row>
    <row r="12231">
      <c r="A12231" s="3" t="s">
        <v>9487</v>
      </c>
      <c r="B12231" s="3" t="s">
        <v>9561</v>
      </c>
      <c r="C12231" s="3" t="s">
        <v>10027</v>
      </c>
      <c r="D12231" s="4" t="str">
        <f t="shared" si="1842"/>
        <v>12Go Link</v>
      </c>
      <c r="E12231" s="3" t="s">
        <v>9515</v>
      </c>
      <c r="K12231" s="5"/>
    </row>
    <row r="12232">
      <c r="A12232" s="3" t="s">
        <v>9487</v>
      </c>
      <c r="B12232" s="3" t="s">
        <v>9561</v>
      </c>
      <c r="C12232" s="3" t="s">
        <v>10027</v>
      </c>
      <c r="D12232" s="4" t="str">
        <f t="shared" si="1842"/>
        <v>12Go Link</v>
      </c>
      <c r="E12232" s="3" t="s">
        <v>9470</v>
      </c>
      <c r="K12232" s="5"/>
    </row>
    <row r="12233">
      <c r="A12233" s="3" t="s">
        <v>9487</v>
      </c>
      <c r="B12233" s="3" t="s">
        <v>9561</v>
      </c>
      <c r="C12233" s="3" t="s">
        <v>10028</v>
      </c>
      <c r="D12233" s="4" t="str">
        <f>HYPERLINK("https://12go.asia/en/travel/SDT-Hoi-An-Office/SDT-Phong-Nha-Office", "12Go Link")</f>
        <v>12Go Link</v>
      </c>
      <c r="E12233" s="3" t="s">
        <v>9591</v>
      </c>
      <c r="K12233" s="5"/>
    </row>
    <row r="12234">
      <c r="A12234" s="3" t="s">
        <v>9487</v>
      </c>
      <c r="B12234" s="3" t="s">
        <v>9573</v>
      </c>
      <c r="C12234" s="3" t="s">
        <v>10029</v>
      </c>
      <c r="D12234" s="4" t="str">
        <f>HYPERLINK("https://12go.asia/en/travel/23-Nguyen-Tat-Thanh/Tbus-Halong", "12Go Link")</f>
        <v>12Go Link</v>
      </c>
      <c r="E12234" s="3" t="s">
        <v>9515</v>
      </c>
      <c r="K12234" s="5"/>
    </row>
    <row r="12235">
      <c r="A12235" s="3" t="s">
        <v>9487</v>
      </c>
      <c r="B12235" s="3" t="s">
        <v>9573</v>
      </c>
      <c r="C12235" s="3" t="s">
        <v>10030</v>
      </c>
      <c r="D12235" s="4" t="str">
        <f>HYPERLINK("https://12go.asia/en/travel/23-Nguyen-Tat-Thanh/Tuan-Chau", "12Go Link")</f>
        <v>12Go Link</v>
      </c>
      <c r="E12235" s="3" t="s">
        <v>9515</v>
      </c>
      <c r="K12235" s="5"/>
    </row>
    <row r="12236">
      <c r="A12236" s="3" t="s">
        <v>9487</v>
      </c>
      <c r="B12236" s="3" t="s">
        <v>9584</v>
      </c>
      <c r="C12236" s="3" t="s">
        <v>10031</v>
      </c>
      <c r="D12236" s="4" t="str">
        <f>HYPERLINK("https://12go.asia/en/travel/SDT-Hoi-An-Office/Gold-Hotel-Ninh-Binh", "12Go Link")</f>
        <v>12Go Link</v>
      </c>
      <c r="E12236" s="3" t="s">
        <v>9449</v>
      </c>
      <c r="K12236" s="5"/>
    </row>
    <row r="12237">
      <c r="A12237" s="3" t="s">
        <v>9502</v>
      </c>
      <c r="B12237" s="3" t="s">
        <v>9372</v>
      </c>
      <c r="C12237" s="3" t="s">
        <v>10032</v>
      </c>
      <c r="D12237" s="4" t="str">
        <f>HYPERLINK("https://12go.asia/en/travel/44-Chu-van-An-Street/26-Pham-Ngu-Lao", "12Go Link")</f>
        <v>12Go Link</v>
      </c>
      <c r="E12237" s="3" t="s">
        <v>9533</v>
      </c>
      <c r="K12237" s="5"/>
    </row>
    <row r="12238">
      <c r="A12238" s="3" t="s">
        <v>9502</v>
      </c>
      <c r="B12238" s="3" t="s">
        <v>9447</v>
      </c>
      <c r="C12238" s="3" t="s">
        <v>10033</v>
      </c>
      <c r="D12238" s="4" t="str">
        <f t="shared" ref="D12238:D12240" si="1843">HYPERLINK("https://12go.asia/en/travel/26-Nguyen-Hue/73-Nguyen-Tuong-Pho", "12Go Link")</f>
        <v>12Go Link</v>
      </c>
      <c r="E12238" s="3" t="s">
        <v>9509</v>
      </c>
      <c r="K12238" s="5"/>
    </row>
    <row r="12239">
      <c r="A12239" s="3" t="s">
        <v>9502</v>
      </c>
      <c r="B12239" s="3" t="s">
        <v>9447</v>
      </c>
      <c r="C12239" s="3" t="s">
        <v>10033</v>
      </c>
      <c r="D12239" s="4" t="str">
        <f t="shared" si="1843"/>
        <v>12Go Link</v>
      </c>
      <c r="E12239" s="3" t="s">
        <v>9510</v>
      </c>
      <c r="K12239" s="5"/>
    </row>
    <row r="12240">
      <c r="A12240" s="3" t="s">
        <v>9502</v>
      </c>
      <c r="B12240" s="3" t="s">
        <v>9447</v>
      </c>
      <c r="C12240" s="3" t="s">
        <v>10033</v>
      </c>
      <c r="D12240" s="4" t="str">
        <f t="shared" si="1843"/>
        <v>12Go Link</v>
      </c>
      <c r="E12240" s="3" t="s">
        <v>9511</v>
      </c>
      <c r="K12240" s="5"/>
    </row>
    <row r="12241">
      <c r="A12241" s="3" t="s">
        <v>9502</v>
      </c>
      <c r="B12241" s="3" t="s">
        <v>9447</v>
      </c>
      <c r="C12241" s="3" t="s">
        <v>10034</v>
      </c>
      <c r="D12241" s="4" t="str">
        <f>HYPERLINK("https://12go.asia/en/travel/7-Doi-Cung-Hue/41-February-3rd-Street", "12Go Link")</f>
        <v>12Go Link</v>
      </c>
      <c r="E12241" s="3" t="s">
        <v>9374</v>
      </c>
      <c r="K12241" s="5"/>
    </row>
    <row r="12242">
      <c r="A12242" s="3" t="s">
        <v>9502</v>
      </c>
      <c r="B12242" s="3" t="s">
        <v>9447</v>
      </c>
      <c r="C12242" s="3" t="s">
        <v>10035</v>
      </c>
      <c r="D12242" s="4" t="str">
        <f>HYPERLINK("https://12go.asia/en/travel/86-Nguyen-Sinh-Cung/65-February-3rd-Street", "12Go Link")</f>
        <v>12Go Link</v>
      </c>
      <c r="E12242" s="3" t="s">
        <v>9474</v>
      </c>
      <c r="K12242" s="5"/>
    </row>
    <row r="12243">
      <c r="A12243" s="3" t="s">
        <v>9502</v>
      </c>
      <c r="B12243" s="3" t="s">
        <v>9447</v>
      </c>
      <c r="C12243" s="3" t="s">
        <v>10036</v>
      </c>
      <c r="D12243" s="4" t="str">
        <f>HYPERLINK("https://12go.asia/en/travel/Ben-xe-Phia-Nam-Hue/70-Hoang-Van-Thai", "12Go Link")</f>
        <v>12Go Link</v>
      </c>
      <c r="E12243" s="3" t="s">
        <v>9530</v>
      </c>
      <c r="K12243" s="5"/>
    </row>
    <row r="12244">
      <c r="A12244" s="3" t="s">
        <v>9502</v>
      </c>
      <c r="B12244" s="3" t="s">
        <v>9447</v>
      </c>
      <c r="C12244" s="3" t="s">
        <v>10037</v>
      </c>
      <c r="D12244" s="4" t="str">
        <f>HYPERLINK("https://12go.asia/en/travel/Benly-Cafe-3-Doi-Cung/41-February-3rd-Street", "12Go Link")</f>
        <v>12Go Link</v>
      </c>
      <c r="E12244" s="3" t="s">
        <v>9374</v>
      </c>
      <c r="K12244" s="5"/>
    </row>
    <row r="12245">
      <c r="A12245" s="3" t="s">
        <v>9502</v>
      </c>
      <c r="B12245" s="3" t="s">
        <v>9447</v>
      </c>
      <c r="C12245" s="3" t="s">
        <v>10038</v>
      </c>
      <c r="D12245" s="4" t="str">
        <f>HYPERLINK("https://12go.asia/en/travel/Benly-Cafe-3-Doi-Cung/Danava-Travel-16-Road-32", "12Go Link")</f>
        <v>12Go Link</v>
      </c>
      <c r="E12245" s="3" t="s">
        <v>9374</v>
      </c>
      <c r="K12245" s="5"/>
    </row>
    <row r="12246">
      <c r="A12246" s="3" t="s">
        <v>9502</v>
      </c>
      <c r="B12246" s="3" t="s">
        <v>9447</v>
      </c>
      <c r="C12246" s="3" t="s">
        <v>10039</v>
      </c>
      <c r="D12246" s="4" t="str">
        <f>HYPERLINK("https://12go.asia/en/travel/Benly-Coffee/41-February-3rd-Street", "12Go Link")</f>
        <v>12Go Link</v>
      </c>
      <c r="E12246" s="3" t="s">
        <v>9374</v>
      </c>
      <c r="K12246" s="5"/>
    </row>
    <row r="12247">
      <c r="A12247" s="3" t="s">
        <v>9502</v>
      </c>
      <c r="B12247" s="3" t="s">
        <v>9447</v>
      </c>
      <c r="C12247" s="3" t="s">
        <v>10040</v>
      </c>
      <c r="D12247" s="4" t="str">
        <f>HYPERLINK("https://12go.asia/en/travel/Hue-45-Le-Loi-street/A-La-Carte-Danang-Beach", "12Go Link")</f>
        <v>12Go Link</v>
      </c>
      <c r="E12247" s="3" t="s">
        <v>9513</v>
      </c>
      <c r="K12247" s="5"/>
    </row>
    <row r="12248">
      <c r="A12248" s="3" t="s">
        <v>9502</v>
      </c>
      <c r="B12248" s="3" t="s">
        <v>9447</v>
      </c>
      <c r="C12248" s="3" t="s">
        <v>10041</v>
      </c>
      <c r="D12248" s="4" t="str">
        <f>HYPERLINK("https://12go.asia/en/travel/Hue-45-Le-Loi-street/Da-Nang-Airport", "12Go Link")</f>
        <v>12Go Link</v>
      </c>
      <c r="E12248" s="3" t="s">
        <v>9513</v>
      </c>
      <c r="K12248" s="5"/>
    </row>
    <row r="12249">
      <c r="A12249" s="3" t="s">
        <v>9502</v>
      </c>
      <c r="B12249" s="3" t="s">
        <v>9447</v>
      </c>
      <c r="C12249" s="3" t="s">
        <v>10042</v>
      </c>
      <c r="D12249" s="4" t="str">
        <f>HYPERLINK("https://12go.asia/en/travel/Hue-45-Le-Loi-street/Holiday-Beach-Da-Nang-Station", "12Go Link")</f>
        <v>12Go Link</v>
      </c>
      <c r="E12249" s="3" t="s">
        <v>9513</v>
      </c>
      <c r="K12249" s="5"/>
    </row>
    <row r="12250">
      <c r="A12250" s="3" t="s">
        <v>9502</v>
      </c>
      <c r="B12250" s="3" t="s">
        <v>9447</v>
      </c>
      <c r="C12250" s="3" t="s">
        <v>10043</v>
      </c>
      <c r="D12250" s="4" t="str">
        <f>HYPERLINK("https://12go.asia/en/travel/Hue-45-Le-Loi-street/My-Khe-Beach-at-Ebisu-Sushi-Restaurant", "12Go Link")</f>
        <v>12Go Link</v>
      </c>
      <c r="E12250" s="3" t="s">
        <v>9513</v>
      </c>
      <c r="K12250" s="5"/>
    </row>
    <row r="12251">
      <c r="A12251" s="3" t="s">
        <v>9502</v>
      </c>
      <c r="B12251" s="3" t="s">
        <v>9447</v>
      </c>
      <c r="C12251" s="3" t="s">
        <v>10044</v>
      </c>
      <c r="D12251" s="4" t="str">
        <f>HYPERLINK("https://12go.asia/en/travel/Hue-City/Da-Nang-City", "12Go Link")</f>
        <v>12Go Link</v>
      </c>
      <c r="E12251" s="3" t="s">
        <v>225</v>
      </c>
      <c r="K12251" s="5"/>
    </row>
    <row r="12252">
      <c r="A12252" s="3" t="s">
        <v>9502</v>
      </c>
      <c r="B12252" s="3" t="s">
        <v>9447</v>
      </c>
      <c r="C12252" s="3" t="s">
        <v>10045</v>
      </c>
      <c r="D12252" s="4" t="str">
        <f>HYPERLINK("https://12go.asia/en/travel/Hue-City/Danang-City-Center", "12Go Link")</f>
        <v>12Go Link</v>
      </c>
      <c r="E12252" s="3" t="s">
        <v>225</v>
      </c>
      <c r="K12252" s="5"/>
    </row>
    <row r="12253">
      <c r="A12253" s="3" t="s">
        <v>9502</v>
      </c>
      <c r="B12253" s="3" t="s">
        <v>9447</v>
      </c>
      <c r="C12253" s="3" t="s">
        <v>10046</v>
      </c>
      <c r="D12253" s="4" t="str">
        <f>HYPERLINK("https://12go.asia/en/travel/Hue-City-Center/Da-Nang-Beach", "12Go Link")</f>
        <v>12Go Link</v>
      </c>
      <c r="E12253" s="3" t="s">
        <v>225</v>
      </c>
      <c r="K12253" s="5"/>
    </row>
    <row r="12254">
      <c r="A12254" s="3" t="s">
        <v>9502</v>
      </c>
      <c r="B12254" s="3" t="s">
        <v>9447</v>
      </c>
      <c r="C12254" s="3" t="s">
        <v>10047</v>
      </c>
      <c r="D12254" s="4" t="str">
        <f>HYPERLINK("https://12go.asia/en/travel/Hue-City-Center/Da-Nang-City", "12Go Link")</f>
        <v>12Go Link</v>
      </c>
      <c r="E12254" s="3" t="s">
        <v>225</v>
      </c>
      <c r="K12254" s="5"/>
    </row>
    <row r="12255">
      <c r="A12255" s="3" t="s">
        <v>9502</v>
      </c>
      <c r="B12255" s="3" t="s">
        <v>9463</v>
      </c>
      <c r="C12255" s="3" t="s">
        <v>10048</v>
      </c>
      <c r="D12255" s="4" t="str">
        <f>HYPERLINK("https://12go.asia/en/travel/SDT-Hue-Office/Thang-Long-Hotel", "12Go Link")</f>
        <v>12Go Link</v>
      </c>
      <c r="E12255" s="3" t="s">
        <v>9465</v>
      </c>
      <c r="K12255" s="5"/>
    </row>
    <row r="12256">
      <c r="A12256" s="3" t="s">
        <v>9502</v>
      </c>
      <c r="B12256" s="3" t="s">
        <v>9466</v>
      </c>
      <c r="C12256" s="3" t="s">
        <v>10049</v>
      </c>
      <c r="D12256" s="4" t="str">
        <f>HYPERLINK("https://12go.asia/en/travel/2-Lam-Hoang-Vy-Da/12-Pham-Van-Dong", "12Go Link")</f>
        <v>12Go Link</v>
      </c>
      <c r="E12256" s="3" t="s">
        <v>9449</v>
      </c>
      <c r="K12256" s="5"/>
    </row>
    <row r="12257">
      <c r="A12257" s="3" t="s">
        <v>9502</v>
      </c>
      <c r="B12257" s="3" t="s">
        <v>9466</v>
      </c>
      <c r="C12257" s="3" t="s">
        <v>10050</v>
      </c>
      <c r="D12257" s="4" t="str">
        <f t="shared" ref="D12257:D12258" si="1844">HYPERLINK("https://12go.asia/en/travel/44-Chu-van-An-Street/1-Nguyen-Hoang-My-Dinh", "12Go Link")</f>
        <v>12Go Link</v>
      </c>
      <c r="E12257" s="3" t="s">
        <v>9374</v>
      </c>
      <c r="K12257" s="5"/>
    </row>
    <row r="12258">
      <c r="A12258" s="3" t="s">
        <v>9502</v>
      </c>
      <c r="B12258" s="3" t="s">
        <v>9466</v>
      </c>
      <c r="C12258" s="3" t="s">
        <v>10050</v>
      </c>
      <c r="D12258" s="4" t="str">
        <f t="shared" si="1844"/>
        <v>12Go Link</v>
      </c>
      <c r="E12258" s="3" t="s">
        <v>9470</v>
      </c>
      <c r="K12258" s="5"/>
    </row>
    <row r="12259">
      <c r="A12259" s="3" t="s">
        <v>9502</v>
      </c>
      <c r="B12259" s="3" t="s">
        <v>9466</v>
      </c>
      <c r="C12259" s="3" t="s">
        <v>10051</v>
      </c>
      <c r="D12259" s="4" t="str">
        <f t="shared" ref="D12259:D12260" si="1845">HYPERLINK("https://12go.asia/en/travel/44-Chu-van-An-Street/114-Tran-Nhat-Duat-Street", "12Go Link")</f>
        <v>12Go Link</v>
      </c>
      <c r="E12259" s="3" t="s">
        <v>9374</v>
      </c>
      <c r="K12259" s="5"/>
    </row>
    <row r="12260">
      <c r="A12260" s="3" t="s">
        <v>9502</v>
      </c>
      <c r="B12260" s="3" t="s">
        <v>9466</v>
      </c>
      <c r="C12260" s="3" t="s">
        <v>10051</v>
      </c>
      <c r="D12260" s="4" t="str">
        <f t="shared" si="1845"/>
        <v>12Go Link</v>
      </c>
      <c r="E12260" s="3" t="s">
        <v>9470</v>
      </c>
      <c r="K12260" s="5"/>
    </row>
    <row r="12261">
      <c r="A12261" s="3" t="s">
        <v>9502</v>
      </c>
      <c r="B12261" s="3" t="s">
        <v>9466</v>
      </c>
      <c r="C12261" s="3" t="s">
        <v>10052</v>
      </c>
      <c r="D12261" s="4" t="str">
        <f t="shared" ref="D12261:D12262" si="1846">HYPERLINK("https://12go.asia/en/travel/44-Chu-van-An-Street/My-Dinh-Bus-Station", "12Go Link")</f>
        <v>12Go Link</v>
      </c>
      <c r="E12261" s="3" t="s">
        <v>9374</v>
      </c>
      <c r="K12261" s="5"/>
    </row>
    <row r="12262">
      <c r="A12262" s="3" t="s">
        <v>9502</v>
      </c>
      <c r="B12262" s="3" t="s">
        <v>9466</v>
      </c>
      <c r="C12262" s="3" t="s">
        <v>10052</v>
      </c>
      <c r="D12262" s="4" t="str">
        <f t="shared" si="1846"/>
        <v>12Go Link</v>
      </c>
      <c r="E12262" s="3" t="s">
        <v>9470</v>
      </c>
      <c r="K12262" s="5"/>
    </row>
    <row r="12263">
      <c r="A12263" s="3" t="s">
        <v>9502</v>
      </c>
      <c r="B12263" s="3" t="s">
        <v>9466</v>
      </c>
      <c r="C12263" s="3" t="s">
        <v>10053</v>
      </c>
      <c r="D12263" s="4" t="str">
        <f t="shared" ref="D12263:D12264" si="1847">HYPERLINK("https://12go.asia/en/travel/7-Doi-Cung-Hue/1-Nguyen-Hoang-My-Dinh", "12Go Link")</f>
        <v>12Go Link</v>
      </c>
      <c r="E12263" s="3" t="s">
        <v>9374</v>
      </c>
      <c r="K12263" s="5"/>
    </row>
    <row r="12264">
      <c r="A12264" s="3" t="s">
        <v>9502</v>
      </c>
      <c r="B12264" s="3" t="s">
        <v>9466</v>
      </c>
      <c r="C12264" s="3" t="s">
        <v>10053</v>
      </c>
      <c r="D12264" s="4" t="str">
        <f t="shared" si="1847"/>
        <v>12Go Link</v>
      </c>
      <c r="E12264" s="3" t="s">
        <v>9470</v>
      </c>
      <c r="K12264" s="5"/>
    </row>
    <row r="12265">
      <c r="A12265" s="3" t="s">
        <v>9502</v>
      </c>
      <c r="B12265" s="3" t="s">
        <v>9466</v>
      </c>
      <c r="C12265" s="3" t="s">
        <v>10054</v>
      </c>
      <c r="D12265" s="4" t="str">
        <f t="shared" ref="D12265:D12266" si="1848">HYPERLINK("https://12go.asia/en/travel/7-Doi-Cung-Hue/114-Tran-Nhat-Duat-Street", "12Go Link")</f>
        <v>12Go Link</v>
      </c>
      <c r="E12265" s="3" t="s">
        <v>9374</v>
      </c>
      <c r="K12265" s="5"/>
    </row>
    <row r="12266">
      <c r="A12266" s="3" t="s">
        <v>9502</v>
      </c>
      <c r="B12266" s="3" t="s">
        <v>9466</v>
      </c>
      <c r="C12266" s="3" t="s">
        <v>10054</v>
      </c>
      <c r="D12266" s="4" t="str">
        <f t="shared" si="1848"/>
        <v>12Go Link</v>
      </c>
      <c r="E12266" s="3" t="s">
        <v>9470</v>
      </c>
      <c r="K12266" s="5"/>
    </row>
    <row r="12267">
      <c r="A12267" s="3" t="s">
        <v>9502</v>
      </c>
      <c r="B12267" s="3" t="s">
        <v>9466</v>
      </c>
      <c r="C12267" s="3" t="s">
        <v>10055</v>
      </c>
      <c r="D12267" s="4" t="str">
        <f>HYPERLINK("https://12go.asia/en/travel/78-Tran-Quang-Khai/Hanoi-SSB", "12Go Link")</f>
        <v>12Go Link</v>
      </c>
      <c r="E12267" s="3" t="s">
        <v>9633</v>
      </c>
      <c r="K12267" s="5"/>
    </row>
    <row r="12268">
      <c r="A12268" s="3" t="s">
        <v>9502</v>
      </c>
      <c r="B12268" s="3" t="s">
        <v>9466</v>
      </c>
      <c r="C12268" s="3" t="s">
        <v>10056</v>
      </c>
      <c r="D12268" s="4" t="str">
        <f t="shared" ref="D12268:D12269" si="1849">HYPERLINK("https://12go.asia/en/travel/86-Nguyen-Sinh-Cung/459-Tran-Khat-Chan", "12Go Link")</f>
        <v>12Go Link</v>
      </c>
      <c r="E12268" s="3" t="s">
        <v>9474</v>
      </c>
      <c r="K12268" s="5"/>
    </row>
    <row r="12269">
      <c r="A12269" s="3" t="s">
        <v>9502</v>
      </c>
      <c r="B12269" s="3" t="s">
        <v>9466</v>
      </c>
      <c r="C12269" s="3" t="s">
        <v>10056</v>
      </c>
      <c r="D12269" s="4" t="str">
        <f t="shared" si="1849"/>
        <v>12Go Link</v>
      </c>
      <c r="E12269" s="3" t="s">
        <v>9733</v>
      </c>
      <c r="K12269" s="5"/>
    </row>
    <row r="12270">
      <c r="A12270" s="3" t="s">
        <v>9502</v>
      </c>
      <c r="B12270" s="3" t="s">
        <v>9466</v>
      </c>
      <c r="C12270" s="3" t="s">
        <v>10057</v>
      </c>
      <c r="D12270" s="4" t="str">
        <f t="shared" ref="D12270:D12271" si="1850">HYPERLINK("https://12go.asia/en/travel/Benly-Coffee/1-Nguyen-Hoang-My-Dinh", "12Go Link")</f>
        <v>12Go Link</v>
      </c>
      <c r="E12270" s="3" t="s">
        <v>9374</v>
      </c>
      <c r="K12270" s="5"/>
    </row>
    <row r="12271">
      <c r="A12271" s="3" t="s">
        <v>9502</v>
      </c>
      <c r="B12271" s="3" t="s">
        <v>9466</v>
      </c>
      <c r="C12271" s="3" t="s">
        <v>10057</v>
      </c>
      <c r="D12271" s="4" t="str">
        <f t="shared" si="1850"/>
        <v>12Go Link</v>
      </c>
      <c r="E12271" s="3" t="s">
        <v>9470</v>
      </c>
      <c r="K12271" s="5"/>
    </row>
    <row r="12272">
      <c r="A12272" s="3" t="s">
        <v>9502</v>
      </c>
      <c r="B12272" s="3" t="s">
        <v>9466</v>
      </c>
      <c r="C12272" s="3" t="s">
        <v>10058</v>
      </c>
      <c r="D12272" s="4" t="str">
        <f t="shared" ref="D12272:D12273" si="1851">HYPERLINK("https://12go.asia/en/travel/Benly-Coffee/114-Tran-Nhat-Duat-Street", "12Go Link")</f>
        <v>12Go Link</v>
      </c>
      <c r="E12272" s="3" t="s">
        <v>9374</v>
      </c>
      <c r="K12272" s="5"/>
    </row>
    <row r="12273">
      <c r="A12273" s="3" t="s">
        <v>9502</v>
      </c>
      <c r="B12273" s="3" t="s">
        <v>9466</v>
      </c>
      <c r="C12273" s="3" t="s">
        <v>10058</v>
      </c>
      <c r="D12273" s="4" t="str">
        <f t="shared" si="1851"/>
        <v>12Go Link</v>
      </c>
      <c r="E12273" s="3" t="s">
        <v>9470</v>
      </c>
      <c r="K12273" s="5"/>
    </row>
    <row r="12274">
      <c r="A12274" s="3" t="s">
        <v>9502</v>
      </c>
      <c r="B12274" s="3" t="s">
        <v>9466</v>
      </c>
      <c r="C12274" s="3" t="s">
        <v>10059</v>
      </c>
      <c r="D12274" s="4" t="str">
        <f>HYPERLINK("https://12go.asia/en/travel/Hue-Northern-Bus-Station/12-Pham-Van-Dong", "12Go Link")</f>
        <v>12Go Link</v>
      </c>
      <c r="E12274" s="3" t="s">
        <v>9449</v>
      </c>
      <c r="K12274" s="5"/>
    </row>
    <row r="12275">
      <c r="A12275" s="3" t="s">
        <v>9502</v>
      </c>
      <c r="B12275" s="3" t="s">
        <v>9466</v>
      </c>
      <c r="C12275" s="3" t="s">
        <v>10060</v>
      </c>
      <c r="D12275" s="4" t="str">
        <f>HYPERLINK("https://12go.asia/en/travel/Hue-Phu-Bai/12-Pham-Van-Dong", "12Go Link")</f>
        <v>12Go Link</v>
      </c>
      <c r="E12275" s="3" t="s">
        <v>9449</v>
      </c>
      <c r="K12275" s="5"/>
    </row>
    <row r="12276">
      <c r="A12276" s="3" t="s">
        <v>9502</v>
      </c>
      <c r="B12276" s="3" t="s">
        <v>9466</v>
      </c>
      <c r="C12276" s="3" t="s">
        <v>10061</v>
      </c>
      <c r="D12276" s="4" t="str">
        <f>HYPERLINK("https://12go.asia/en/travel/SDT-Hue-Office/Nuoc-Ngam-Hanoi", "12Go Link")</f>
        <v>12Go Link</v>
      </c>
      <c r="E12276" s="3" t="s">
        <v>9449</v>
      </c>
      <c r="K12276" s="5"/>
    </row>
    <row r="12277">
      <c r="A12277" s="3" t="s">
        <v>9502</v>
      </c>
      <c r="B12277" s="3" t="s">
        <v>9419</v>
      </c>
      <c r="C12277" s="3" t="s">
        <v>10062</v>
      </c>
      <c r="D12277" s="4" t="str">
        <f>HYPERLINK("https://12go.asia/en/travel/44-Chu-van-An-Street/An-Suong-Office", "12Go Link")</f>
        <v>12Go Link</v>
      </c>
      <c r="E12277" s="3" t="s">
        <v>9450</v>
      </c>
      <c r="K12277" s="5"/>
    </row>
    <row r="12278">
      <c r="A12278" s="3" t="s">
        <v>9502</v>
      </c>
      <c r="B12278" s="3" t="s">
        <v>9419</v>
      </c>
      <c r="C12278" s="3" t="s">
        <v>10063</v>
      </c>
      <c r="D12278" s="4" t="str">
        <f>HYPERLINK("https://12go.asia/en/travel/Ben-xe-Phia-Nam-Hue/An-Suong-Bus-Station", "12Go Link")</f>
        <v>12Go Link</v>
      </c>
      <c r="E12278" s="3" t="s">
        <v>9530</v>
      </c>
      <c r="K12278" s="5"/>
    </row>
    <row r="12279">
      <c r="A12279" s="3" t="s">
        <v>9502</v>
      </c>
      <c r="B12279" s="3" t="s">
        <v>9487</v>
      </c>
      <c r="C12279" s="3" t="s">
        <v>10064</v>
      </c>
      <c r="D12279" s="4" t="str">
        <f t="shared" ref="D12279:D12281" si="1852">HYPERLINK("https://12go.asia/en/travel/26-Nguyen-Hue/Pool-Side-Villa", "12Go Link")</f>
        <v>12Go Link</v>
      </c>
      <c r="E12279" s="3" t="s">
        <v>9509</v>
      </c>
      <c r="K12279" s="5"/>
    </row>
    <row r="12280">
      <c r="A12280" s="3" t="s">
        <v>9502</v>
      </c>
      <c r="B12280" s="3" t="s">
        <v>9487</v>
      </c>
      <c r="C12280" s="3" t="s">
        <v>10064</v>
      </c>
      <c r="D12280" s="4" t="str">
        <f t="shared" si="1852"/>
        <v>12Go Link</v>
      </c>
      <c r="E12280" s="3" t="s">
        <v>9510</v>
      </c>
      <c r="K12280" s="5"/>
    </row>
    <row r="12281">
      <c r="A12281" s="3" t="s">
        <v>9502</v>
      </c>
      <c r="B12281" s="3" t="s">
        <v>9487</v>
      </c>
      <c r="C12281" s="3" t="s">
        <v>10064</v>
      </c>
      <c r="D12281" s="4" t="str">
        <f t="shared" si="1852"/>
        <v>12Go Link</v>
      </c>
      <c r="E12281" s="3" t="s">
        <v>9511</v>
      </c>
      <c r="K12281" s="5"/>
    </row>
    <row r="12282">
      <c r="A12282" s="3" t="s">
        <v>9502</v>
      </c>
      <c r="B12282" s="3" t="s">
        <v>9487</v>
      </c>
      <c r="C12282" s="3" t="s">
        <v>10065</v>
      </c>
      <c r="D12282" s="4" t="str">
        <f>HYPERLINK("https://12go.asia/en/travel/44-Chu-van-An-Street/105-Ton-Duc-Thang", "12Go Link")</f>
        <v>12Go Link</v>
      </c>
      <c r="E12282" s="3" t="s">
        <v>9374</v>
      </c>
      <c r="K12282" s="5"/>
    </row>
    <row r="12283">
      <c r="A12283" s="3" t="s">
        <v>9502</v>
      </c>
      <c r="B12283" s="3" t="s">
        <v>9487</v>
      </c>
      <c r="C12283" s="3" t="s">
        <v>10066</v>
      </c>
      <c r="D12283" s="4" t="str">
        <f>HYPERLINK("https://12go.asia/en/travel/44-Chu-van-An-Street/23-Nguyen-Tat-Thanh", "12Go Link")</f>
        <v>12Go Link</v>
      </c>
      <c r="E12283" s="3" t="s">
        <v>9450</v>
      </c>
      <c r="K12283" s="5"/>
    </row>
    <row r="12284">
      <c r="A12284" s="3" t="s">
        <v>9502</v>
      </c>
      <c r="B12284" s="3" t="s">
        <v>9487</v>
      </c>
      <c r="C12284" s="3" t="s">
        <v>10067</v>
      </c>
      <c r="D12284" s="4" t="str">
        <f>HYPERLINK("https://12go.asia/en/travel/7-Doi-Cung-Hue/105-Ton-Duc-Thang", "12Go Link")</f>
        <v>12Go Link</v>
      </c>
      <c r="E12284" s="3" t="s">
        <v>9374</v>
      </c>
      <c r="K12284" s="5"/>
    </row>
    <row r="12285">
      <c r="A12285" s="3" t="s">
        <v>9502</v>
      </c>
      <c r="B12285" s="3" t="s">
        <v>9487</v>
      </c>
      <c r="C12285" s="3" t="s">
        <v>10068</v>
      </c>
      <c r="D12285" s="4" t="str">
        <f>HYPERLINK("https://12go.asia/en/travel/7-Doi-Cung-Hue/23-Nguyen-Tat-Thanh", "12Go Link")</f>
        <v>12Go Link</v>
      </c>
      <c r="E12285" s="3" t="s">
        <v>9374</v>
      </c>
      <c r="K12285" s="5"/>
    </row>
    <row r="12286">
      <c r="A12286" s="3" t="s">
        <v>9502</v>
      </c>
      <c r="B12286" s="3" t="s">
        <v>9487</v>
      </c>
      <c r="C12286" s="3" t="s">
        <v>10069</v>
      </c>
      <c r="D12286" s="4" t="str">
        <f>HYPERLINK("https://12go.asia/en/travel/86-Nguyen-Sinh-Cung/137-Tran-Nhan-Tong", "12Go Link")</f>
        <v>12Go Link</v>
      </c>
      <c r="E12286" s="3" t="s">
        <v>9474</v>
      </c>
      <c r="K12286" s="5"/>
    </row>
    <row r="12287">
      <c r="A12287" s="3" t="s">
        <v>9502</v>
      </c>
      <c r="B12287" s="3" t="s">
        <v>9487</v>
      </c>
      <c r="C12287" s="3" t="s">
        <v>10070</v>
      </c>
      <c r="D12287" s="4" t="str">
        <f>HYPERLINK("https://12go.asia/en/travel/Benly-Cafe-3-Doi-Cung/23-Nguyen-Tat-Thanh", "12Go Link")</f>
        <v>12Go Link</v>
      </c>
      <c r="E12287" s="3" t="s">
        <v>9374</v>
      </c>
      <c r="K12287" s="5"/>
    </row>
    <row r="12288">
      <c r="A12288" s="3" t="s">
        <v>9502</v>
      </c>
      <c r="B12288" s="3" t="s">
        <v>9487</v>
      </c>
      <c r="C12288" s="3" t="s">
        <v>10071</v>
      </c>
      <c r="D12288" s="4" t="str">
        <f>HYPERLINK("https://12go.asia/en/travel/Benly-Coffee/105-Ton-Duc-Thang", "12Go Link")</f>
        <v>12Go Link</v>
      </c>
      <c r="E12288" s="3" t="s">
        <v>9374</v>
      </c>
      <c r="K12288" s="5"/>
    </row>
    <row r="12289">
      <c r="A12289" s="3" t="s">
        <v>9502</v>
      </c>
      <c r="B12289" s="3" t="s">
        <v>9487</v>
      </c>
      <c r="C12289" s="3" t="s">
        <v>10072</v>
      </c>
      <c r="D12289" s="4" t="str">
        <f>HYPERLINK("https://12go.asia/en/travel/Benly-Coffee/23-Nguyen-Tat-Thanh", "12Go Link")</f>
        <v>12Go Link</v>
      </c>
      <c r="E12289" s="3" t="s">
        <v>9374</v>
      </c>
      <c r="K12289" s="5"/>
    </row>
    <row r="12290">
      <c r="A12290" s="3" t="s">
        <v>9502</v>
      </c>
      <c r="B12290" s="3" t="s">
        <v>9386</v>
      </c>
      <c r="C12290" s="3" t="s">
        <v>10073</v>
      </c>
      <c r="D12290" s="4" t="str">
        <f>HYPERLINK("https://12go.asia/en/travel/44-Chu-van-An-Street/4-Hoang-Dieu-Da-lat", "12Go Link")</f>
        <v>12Go Link</v>
      </c>
      <c r="E12290" s="3" t="s">
        <v>9533</v>
      </c>
      <c r="K12290" s="5"/>
    </row>
    <row r="12291">
      <c r="A12291" s="3" t="s">
        <v>9502</v>
      </c>
      <c r="B12291" s="3" t="s">
        <v>9531</v>
      </c>
      <c r="C12291" s="3" t="s">
        <v>10074</v>
      </c>
      <c r="D12291" s="4" t="str">
        <f>HYPERLINK("https://12go.asia/en/travel/44-Chu-van-An-Street/Mui-Ne-Hanh-Cafe", "12Go Link")</f>
        <v>12Go Link</v>
      </c>
      <c r="E12291" s="3" t="s">
        <v>9648</v>
      </c>
      <c r="K12291" s="5"/>
    </row>
    <row r="12292">
      <c r="A12292" s="3" t="s">
        <v>9502</v>
      </c>
      <c r="B12292" s="3" t="s">
        <v>9397</v>
      </c>
      <c r="C12292" s="3" t="s">
        <v>10075</v>
      </c>
      <c r="D12292" s="4" t="str">
        <f>HYPERLINK("https://12go.asia/en/travel/28-Chu-Van-An/32-Hung-Vuong", "12Go Link")</f>
        <v>12Go Link</v>
      </c>
      <c r="E12292" s="3" t="s">
        <v>9538</v>
      </c>
      <c r="K12292" s="5"/>
    </row>
    <row r="12293">
      <c r="A12293" s="3" t="s">
        <v>9502</v>
      </c>
      <c r="B12293" s="3" t="s">
        <v>9397</v>
      </c>
      <c r="C12293" s="3" t="s">
        <v>10076</v>
      </c>
      <c r="D12293" s="4" t="str">
        <f>HYPERLINK("https://12go.asia/en/travel/44-Chu-van-An-Street/34-Thich-Quang-Duc", "12Go Link")</f>
        <v>12Go Link</v>
      </c>
      <c r="E12293" s="3" t="s">
        <v>9533</v>
      </c>
      <c r="K12293" s="5"/>
    </row>
    <row r="12294">
      <c r="A12294" s="3" t="s">
        <v>9502</v>
      </c>
      <c r="B12294" s="3" t="s">
        <v>9539</v>
      </c>
      <c r="C12294" s="3" t="s">
        <v>10077</v>
      </c>
      <c r="D12294" s="4" t="str">
        <f>HYPERLINK("https://12go.asia/en/travel/2-Lam-Hoang-Vy-Da/Mikes-Travel-Agency", "12Go Link")</f>
        <v>12Go Link</v>
      </c>
      <c r="E12294" s="3" t="s">
        <v>9449</v>
      </c>
      <c r="K12294" s="5"/>
    </row>
    <row r="12295">
      <c r="A12295" s="3" t="s">
        <v>9502</v>
      </c>
      <c r="B12295" s="3" t="s">
        <v>9539</v>
      </c>
      <c r="C12295" s="3" t="s">
        <v>10078</v>
      </c>
      <c r="D12295" s="4" t="str">
        <f>HYPERLINK("https://12go.asia/en/travel/2-Lam-Hoang-Vy-Da/Ninh-Phong-Ninh-Binh", "12Go Link")</f>
        <v>12Go Link</v>
      </c>
      <c r="E12295" s="3" t="s">
        <v>9449</v>
      </c>
      <c r="K12295" s="5"/>
    </row>
    <row r="12296">
      <c r="A12296" s="3" t="s">
        <v>9502</v>
      </c>
      <c r="B12296" s="3" t="s">
        <v>9539</v>
      </c>
      <c r="C12296" s="3" t="s">
        <v>10079</v>
      </c>
      <c r="D12296" s="4" t="str">
        <f>HYPERLINK("https://12go.asia/en/travel/2-Lam-Hoang-Vy-Da/Tam-Coc-NinhBinh", "12Go Link")</f>
        <v>12Go Link</v>
      </c>
      <c r="E12296" s="3" t="s">
        <v>9449</v>
      </c>
      <c r="K12296" s="5"/>
    </row>
    <row r="12297">
      <c r="A12297" s="3" t="s">
        <v>9502</v>
      </c>
      <c r="B12297" s="3" t="s">
        <v>9539</v>
      </c>
      <c r="C12297" s="3" t="s">
        <v>10080</v>
      </c>
      <c r="D12297" s="4" t="str">
        <f t="shared" ref="D12297:D12298" si="1853">HYPERLINK("https://12go.asia/en/travel/44-Chu-van-An-Street/Mikes-Travel-Agency", "12Go Link")</f>
        <v>12Go Link</v>
      </c>
      <c r="E12297" s="3" t="s">
        <v>9374</v>
      </c>
      <c r="K12297" s="5"/>
    </row>
    <row r="12298">
      <c r="A12298" s="3" t="s">
        <v>9502</v>
      </c>
      <c r="B12298" s="3" t="s">
        <v>9539</v>
      </c>
      <c r="C12298" s="3" t="s">
        <v>10080</v>
      </c>
      <c r="D12298" s="4" t="str">
        <f t="shared" si="1853"/>
        <v>12Go Link</v>
      </c>
      <c r="E12298" s="3" t="s">
        <v>9470</v>
      </c>
      <c r="K12298" s="5"/>
    </row>
    <row r="12299">
      <c r="A12299" s="3" t="s">
        <v>9502</v>
      </c>
      <c r="B12299" s="3" t="s">
        <v>9539</v>
      </c>
      <c r="C12299" s="3" t="s">
        <v>10081</v>
      </c>
      <c r="D12299" s="4" t="str">
        <f t="shared" ref="D12299:D12300" si="1854">HYPERLINK("https://12go.asia/en/travel/44-Chu-van-An-Street/Mr-Khanh-Travel-Agency-Ninh-Binh", "12Go Link")</f>
        <v>12Go Link</v>
      </c>
      <c r="E12299" s="3" t="s">
        <v>9374</v>
      </c>
      <c r="K12299" s="5"/>
    </row>
    <row r="12300">
      <c r="A12300" s="3" t="s">
        <v>9502</v>
      </c>
      <c r="B12300" s="3" t="s">
        <v>9539</v>
      </c>
      <c r="C12300" s="3" t="s">
        <v>10081</v>
      </c>
      <c r="D12300" s="4" t="str">
        <f t="shared" si="1854"/>
        <v>12Go Link</v>
      </c>
      <c r="E12300" s="3" t="s">
        <v>9470</v>
      </c>
      <c r="K12300" s="5"/>
    </row>
    <row r="12301">
      <c r="A12301" s="3" t="s">
        <v>9502</v>
      </c>
      <c r="B12301" s="3" t="s">
        <v>9539</v>
      </c>
      <c r="C12301" s="3" t="s">
        <v>10082</v>
      </c>
      <c r="D12301" s="4" t="str">
        <f t="shared" ref="D12301:D12302" si="1855">HYPERLINK("https://12go.asia/en/travel/44-Chu-van-An-Street/Ninh-Phong-Ninh-Binh", "12Go Link")</f>
        <v>12Go Link</v>
      </c>
      <c r="E12301" s="3" t="s">
        <v>9374</v>
      </c>
      <c r="K12301" s="5"/>
    </row>
    <row r="12302">
      <c r="A12302" s="3" t="s">
        <v>9502</v>
      </c>
      <c r="B12302" s="3" t="s">
        <v>9539</v>
      </c>
      <c r="C12302" s="3" t="s">
        <v>10082</v>
      </c>
      <c r="D12302" s="4" t="str">
        <f t="shared" si="1855"/>
        <v>12Go Link</v>
      </c>
      <c r="E12302" s="3" t="s">
        <v>9470</v>
      </c>
      <c r="K12302" s="5"/>
    </row>
    <row r="12303">
      <c r="A12303" s="3" t="s">
        <v>9502</v>
      </c>
      <c r="B12303" s="3" t="s">
        <v>9539</v>
      </c>
      <c r="C12303" s="3" t="s">
        <v>10083</v>
      </c>
      <c r="D12303" s="4" t="str">
        <f t="shared" ref="D12303:D12304" si="1856">HYPERLINK("https://12go.asia/en/travel/7-Doi-Cung-Hue/Mikes-Travel-Agency", "12Go Link")</f>
        <v>12Go Link</v>
      </c>
      <c r="E12303" s="3" t="s">
        <v>9374</v>
      </c>
      <c r="K12303" s="5"/>
    </row>
    <row r="12304">
      <c r="A12304" s="3" t="s">
        <v>9502</v>
      </c>
      <c r="B12304" s="3" t="s">
        <v>9539</v>
      </c>
      <c r="C12304" s="3" t="s">
        <v>10083</v>
      </c>
      <c r="D12304" s="4" t="str">
        <f t="shared" si="1856"/>
        <v>12Go Link</v>
      </c>
      <c r="E12304" s="3" t="s">
        <v>9544</v>
      </c>
      <c r="K12304" s="5"/>
    </row>
    <row r="12305">
      <c r="A12305" s="3" t="s">
        <v>9502</v>
      </c>
      <c r="B12305" s="3" t="s">
        <v>9539</v>
      </c>
      <c r="C12305" s="3" t="s">
        <v>10084</v>
      </c>
      <c r="D12305" s="4" t="str">
        <f t="shared" ref="D12305:D12307" si="1857">HYPERLINK("https://12go.asia/en/travel/7-Doi-Cung-Hue/Mr-Khanh-Travel-Agency-Ninh-Binh", "12Go Link")</f>
        <v>12Go Link</v>
      </c>
      <c r="E12305" s="3" t="s">
        <v>9546</v>
      </c>
      <c r="K12305" s="5"/>
    </row>
    <row r="12306">
      <c r="A12306" s="3" t="s">
        <v>9502</v>
      </c>
      <c r="B12306" s="3" t="s">
        <v>9539</v>
      </c>
      <c r="C12306" s="3" t="s">
        <v>10084</v>
      </c>
      <c r="D12306" s="4" t="str">
        <f t="shared" si="1857"/>
        <v>12Go Link</v>
      </c>
      <c r="E12306" s="3" t="s">
        <v>9374</v>
      </c>
      <c r="K12306" s="5"/>
    </row>
    <row r="12307">
      <c r="A12307" s="3" t="s">
        <v>9502</v>
      </c>
      <c r="B12307" s="3" t="s">
        <v>9539</v>
      </c>
      <c r="C12307" s="3" t="s">
        <v>10084</v>
      </c>
      <c r="D12307" s="4" t="str">
        <f t="shared" si="1857"/>
        <v>12Go Link</v>
      </c>
      <c r="E12307" s="3" t="s">
        <v>9470</v>
      </c>
      <c r="K12307" s="5"/>
    </row>
    <row r="12308">
      <c r="A12308" s="3" t="s">
        <v>9502</v>
      </c>
      <c r="B12308" s="3" t="s">
        <v>9539</v>
      </c>
      <c r="C12308" s="3" t="s">
        <v>10085</v>
      </c>
      <c r="D12308" s="4" t="str">
        <f t="shared" ref="D12308:D12309" si="1858">HYPERLINK("https://12go.asia/en/travel/7-Doi-Cung-Hue/Ninh-Phong-Ninh-Binh", "12Go Link")</f>
        <v>12Go Link</v>
      </c>
      <c r="E12308" s="3" t="s">
        <v>9374</v>
      </c>
      <c r="K12308" s="5"/>
    </row>
    <row r="12309">
      <c r="A12309" s="3" t="s">
        <v>9502</v>
      </c>
      <c r="B12309" s="3" t="s">
        <v>9539</v>
      </c>
      <c r="C12309" s="3" t="s">
        <v>10085</v>
      </c>
      <c r="D12309" s="4" t="str">
        <f t="shared" si="1858"/>
        <v>12Go Link</v>
      </c>
      <c r="E12309" s="3" t="s">
        <v>9470</v>
      </c>
      <c r="K12309" s="5"/>
    </row>
    <row r="12310">
      <c r="A12310" s="3" t="s">
        <v>9502</v>
      </c>
      <c r="B12310" s="3" t="s">
        <v>9539</v>
      </c>
      <c r="C12310" s="3" t="s">
        <v>10086</v>
      </c>
      <c r="D12310" s="4" t="str">
        <f>HYPERLINK("https://12go.asia/en/travel/78-Tran-Quang-Khai/Ninh-Binh-Luxury-SSB", "12Go Link")</f>
        <v>12Go Link</v>
      </c>
      <c r="E12310" s="3" t="s">
        <v>9633</v>
      </c>
      <c r="K12310" s="5"/>
    </row>
    <row r="12311">
      <c r="A12311" s="3" t="s">
        <v>9502</v>
      </c>
      <c r="B12311" s="3" t="s">
        <v>9539</v>
      </c>
      <c r="C12311" s="3" t="s">
        <v>10087</v>
      </c>
      <c r="D12311" s="4" t="str">
        <f>HYPERLINK("https://12go.asia/en/travel/78-Tran-Quang-Khai/Ninh-Binh-SSB", "12Go Link")</f>
        <v>12Go Link</v>
      </c>
      <c r="E12311" s="3" t="s">
        <v>9633</v>
      </c>
      <c r="K12311" s="5"/>
    </row>
    <row r="12312">
      <c r="A12312" s="3" t="s">
        <v>9502</v>
      </c>
      <c r="B12312" s="3" t="s">
        <v>9539</v>
      </c>
      <c r="C12312" s="3" t="s">
        <v>10088</v>
      </c>
      <c r="D12312" s="4" t="str">
        <f>HYPERLINK("https://12go.asia/en/travel/86-Nguyen-Sinh-Cung/Mr-Khanh-Travel-Agency-Ninh-Binh", "12Go Link")</f>
        <v>12Go Link</v>
      </c>
      <c r="E12312" s="3" t="s">
        <v>9733</v>
      </c>
      <c r="K12312" s="5"/>
    </row>
    <row r="12313">
      <c r="A12313" s="3" t="s">
        <v>9502</v>
      </c>
      <c r="B12313" s="3" t="s">
        <v>9539</v>
      </c>
      <c r="C12313" s="3" t="s">
        <v>10089</v>
      </c>
      <c r="D12313" s="4" t="str">
        <f t="shared" ref="D12313:D12314" si="1859">HYPERLINK("https://12go.asia/en/travel/86-Nguyen-Sinh-Cung/Ninh-Binh-Central-Hotel", "12Go Link")</f>
        <v>12Go Link</v>
      </c>
      <c r="E12313" s="3" t="s">
        <v>9474</v>
      </c>
      <c r="K12313" s="5"/>
    </row>
    <row r="12314">
      <c r="A12314" s="3" t="s">
        <v>9502</v>
      </c>
      <c r="B12314" s="3" t="s">
        <v>9539</v>
      </c>
      <c r="C12314" s="3" t="s">
        <v>10089</v>
      </c>
      <c r="D12314" s="4" t="str">
        <f t="shared" si="1859"/>
        <v>12Go Link</v>
      </c>
      <c r="E12314" s="3" t="s">
        <v>9733</v>
      </c>
      <c r="K12314" s="5"/>
    </row>
    <row r="12315">
      <c r="A12315" s="3" t="s">
        <v>9502</v>
      </c>
      <c r="B12315" s="3" t="s">
        <v>9539</v>
      </c>
      <c r="C12315" s="3" t="s">
        <v>10090</v>
      </c>
      <c r="D12315" s="4" t="str">
        <f>HYPERLINK("https://12go.asia/en/travel/86-Nguyen-Sinh-Cung/Tam-Coc-NinhBinh", "12Go Link")</f>
        <v>12Go Link</v>
      </c>
      <c r="E12315" s="3" t="s">
        <v>9733</v>
      </c>
      <c r="K12315" s="5"/>
    </row>
    <row r="12316">
      <c r="A12316" s="3" t="s">
        <v>9502</v>
      </c>
      <c r="B12316" s="3" t="s">
        <v>9539</v>
      </c>
      <c r="C12316" s="3" t="s">
        <v>10091</v>
      </c>
      <c r="D12316" s="4" t="str">
        <f>HYPERLINK("https://12go.asia/en/travel/86-Nguyen-Sinh-Cung/The-Long-Hotel-Tam-Coc", "12Go Link")</f>
        <v>12Go Link</v>
      </c>
      <c r="E12316" s="3" t="s">
        <v>9733</v>
      </c>
      <c r="K12316" s="5"/>
    </row>
    <row r="12317">
      <c r="A12317" s="3" t="s">
        <v>9502</v>
      </c>
      <c r="B12317" s="3" t="s">
        <v>9539</v>
      </c>
      <c r="C12317" s="3" t="s">
        <v>10092</v>
      </c>
      <c r="D12317" s="4" t="str">
        <f t="shared" ref="D12317:D12318" si="1860">HYPERLINK("https://12go.asia/en/travel/Benly-Coffee/Mikes-Travel-Agency", "12Go Link")</f>
        <v>12Go Link</v>
      </c>
      <c r="E12317" s="3" t="s">
        <v>9374</v>
      </c>
      <c r="K12317" s="5"/>
    </row>
    <row r="12318">
      <c r="A12318" s="3" t="s">
        <v>9502</v>
      </c>
      <c r="B12318" s="3" t="s">
        <v>9539</v>
      </c>
      <c r="C12318" s="3" t="s">
        <v>10092</v>
      </c>
      <c r="D12318" s="4" t="str">
        <f t="shared" si="1860"/>
        <v>12Go Link</v>
      </c>
      <c r="E12318" s="3" t="s">
        <v>9470</v>
      </c>
      <c r="K12318" s="5"/>
    </row>
    <row r="12319">
      <c r="A12319" s="3" t="s">
        <v>9502</v>
      </c>
      <c r="B12319" s="3" t="s">
        <v>9539</v>
      </c>
      <c r="C12319" s="3" t="s">
        <v>10093</v>
      </c>
      <c r="D12319" s="4" t="str">
        <f t="shared" ref="D12319:D12320" si="1861">HYPERLINK("https://12go.asia/en/travel/Benly-Coffee/Mr-Khanh-Travel-Agency-Ninh-Binh", "12Go Link")</f>
        <v>12Go Link</v>
      </c>
      <c r="E12319" s="3" t="s">
        <v>9374</v>
      </c>
      <c r="K12319" s="5"/>
    </row>
    <row r="12320">
      <c r="A12320" s="3" t="s">
        <v>9502</v>
      </c>
      <c r="B12320" s="3" t="s">
        <v>9539</v>
      </c>
      <c r="C12320" s="3" t="s">
        <v>10093</v>
      </c>
      <c r="D12320" s="4" t="str">
        <f t="shared" si="1861"/>
        <v>12Go Link</v>
      </c>
      <c r="E12320" s="3" t="s">
        <v>9470</v>
      </c>
      <c r="K12320" s="5"/>
    </row>
    <row r="12321">
      <c r="A12321" s="3" t="s">
        <v>9502</v>
      </c>
      <c r="B12321" s="3" t="s">
        <v>9539</v>
      </c>
      <c r="C12321" s="3" t="s">
        <v>10094</v>
      </c>
      <c r="D12321" s="4" t="str">
        <f t="shared" ref="D12321:D12322" si="1862">HYPERLINK("https://12go.asia/en/travel/Benly-Coffee/Ninh-Phong-Ninh-Binh", "12Go Link")</f>
        <v>12Go Link</v>
      </c>
      <c r="E12321" s="3" t="s">
        <v>9374</v>
      </c>
      <c r="K12321" s="5"/>
    </row>
    <row r="12322">
      <c r="A12322" s="3" t="s">
        <v>9502</v>
      </c>
      <c r="B12322" s="3" t="s">
        <v>9539</v>
      </c>
      <c r="C12322" s="3" t="s">
        <v>10094</v>
      </c>
      <c r="D12322" s="4" t="str">
        <f t="shared" si="1862"/>
        <v>12Go Link</v>
      </c>
      <c r="E12322" s="3" t="s">
        <v>9470</v>
      </c>
      <c r="K12322" s="5"/>
    </row>
    <row r="12323">
      <c r="A12323" s="3" t="s">
        <v>9502</v>
      </c>
      <c r="B12323" s="3" t="s">
        <v>9539</v>
      </c>
      <c r="C12323" s="3" t="s">
        <v>10095</v>
      </c>
      <c r="D12323" s="4" t="str">
        <f>HYPERLINK("https://12go.asia/en/travel/Hue-Northern-Bus-Station/Ninh-Phong-Ninh-Binh", "12Go Link")</f>
        <v>12Go Link</v>
      </c>
      <c r="E12323" s="3" t="s">
        <v>9449</v>
      </c>
      <c r="K12323" s="5"/>
    </row>
    <row r="12324">
      <c r="A12324" s="3" t="s">
        <v>9502</v>
      </c>
      <c r="B12324" s="3" t="s">
        <v>9539</v>
      </c>
      <c r="C12324" s="3" t="s">
        <v>10096</v>
      </c>
      <c r="D12324" s="4" t="str">
        <f>HYPERLINK("https://12go.asia/en/travel/Hue-Northern-Bus-Station/Tam-Coc-NinhBinh", "12Go Link")</f>
        <v>12Go Link</v>
      </c>
      <c r="E12324" s="3" t="s">
        <v>9449</v>
      </c>
      <c r="K12324" s="5"/>
    </row>
    <row r="12325">
      <c r="A12325" s="3" t="s">
        <v>9502</v>
      </c>
      <c r="B12325" s="3" t="s">
        <v>9539</v>
      </c>
      <c r="C12325" s="3" t="s">
        <v>10097</v>
      </c>
      <c r="D12325" s="4" t="str">
        <f>HYPERLINK("https://12go.asia/en/travel/Hue-Phu-Bai/Ninh-Phong-Ninh-Binh", "12Go Link")</f>
        <v>12Go Link</v>
      </c>
      <c r="E12325" s="3" t="s">
        <v>9449</v>
      </c>
      <c r="K12325" s="5"/>
    </row>
    <row r="12326">
      <c r="A12326" s="3" t="s">
        <v>9502</v>
      </c>
      <c r="B12326" s="3" t="s">
        <v>9539</v>
      </c>
      <c r="C12326" s="3" t="s">
        <v>10098</v>
      </c>
      <c r="D12326" s="4" t="str">
        <f>HYPERLINK("https://12go.asia/en/travel/Hue-Phu-Bai/Tam-Coc-NinhBinh", "12Go Link")</f>
        <v>12Go Link</v>
      </c>
      <c r="E12326" s="3" t="s">
        <v>9449</v>
      </c>
      <c r="K12326" s="5"/>
    </row>
    <row r="12327">
      <c r="A12327" s="3" t="s">
        <v>9502</v>
      </c>
      <c r="B12327" s="3" t="s">
        <v>9539</v>
      </c>
      <c r="C12327" s="3" t="s">
        <v>10099</v>
      </c>
      <c r="D12327" s="4" t="str">
        <f>HYPERLINK("https://12go.asia/en/travel/Hue-Vy-Da/Ninh-Binh", "12Go Link")</f>
        <v>12Go Link</v>
      </c>
      <c r="E12327" s="3" t="s">
        <v>9733</v>
      </c>
      <c r="K12327" s="5"/>
    </row>
    <row r="12328">
      <c r="A12328" s="3" t="s">
        <v>9502</v>
      </c>
      <c r="B12328" s="3" t="s">
        <v>9539</v>
      </c>
      <c r="C12328" s="3" t="s">
        <v>10100</v>
      </c>
      <c r="D12328" s="4" t="str">
        <f>HYPERLINK("https://12go.asia/en/travel/Hue-Vy-Da/The-Long-Hotel-Tam-Coc", "12Go Link")</f>
        <v>12Go Link</v>
      </c>
      <c r="E12328" s="3" t="s">
        <v>9733</v>
      </c>
      <c r="K12328" s="5"/>
    </row>
    <row r="12329">
      <c r="A12329" s="3" t="s">
        <v>9502</v>
      </c>
      <c r="B12329" s="3" t="s">
        <v>9561</v>
      </c>
      <c r="C12329" s="3" t="s">
        <v>10101</v>
      </c>
      <c r="D12329" s="4" t="str">
        <f>HYPERLINK("https://12go.asia/en/travel/2-Lam-Hoang-Vy-Da/Central-Backpackers-Hostel-Phong-Nha", "12Go Link")</f>
        <v>12Go Link</v>
      </c>
      <c r="E12329" s="3" t="s">
        <v>9449</v>
      </c>
      <c r="K12329" s="5"/>
    </row>
    <row r="12330">
      <c r="A12330" s="3" t="s">
        <v>9502</v>
      </c>
      <c r="B12330" s="3" t="s">
        <v>9561</v>
      </c>
      <c r="C12330" s="3" t="s">
        <v>10102</v>
      </c>
      <c r="D12330" s="4" t="str">
        <f>HYPERLINK("https://12go.asia/en/travel/2-Lam-Hoang-Vy-Da/Nam-Anh-Hotel", "12Go Link")</f>
        <v>12Go Link</v>
      </c>
      <c r="E12330" s="3" t="s">
        <v>9449</v>
      </c>
      <c r="K12330" s="5"/>
    </row>
    <row r="12331">
      <c r="A12331" s="3" t="s">
        <v>9502</v>
      </c>
      <c r="B12331" s="3" t="s">
        <v>9561</v>
      </c>
      <c r="C12331" s="3" t="s">
        <v>10103</v>
      </c>
      <c r="D12331" s="4" t="str">
        <f>HYPERLINK("https://12go.asia/en/travel/2-Lam-Hoang-Vy-Da/Thien-Phu-Hostel", "12Go Link")</f>
        <v>12Go Link</v>
      </c>
      <c r="E12331" s="3" t="s">
        <v>9449</v>
      </c>
      <c r="K12331" s="5"/>
    </row>
    <row r="12332">
      <c r="A12332" s="3" t="s">
        <v>9502</v>
      </c>
      <c r="B12332" s="3" t="s">
        <v>9561</v>
      </c>
      <c r="C12332" s="3" t="s">
        <v>10104</v>
      </c>
      <c r="D12332" s="4" t="str">
        <f t="shared" ref="D12332:D12333" si="1863">HYPERLINK("https://12go.asia/en/travel/44-Chu-van-An-Street/Nam-Anh-Hotel", "12Go Link")</f>
        <v>12Go Link</v>
      </c>
      <c r="E12332" s="3" t="s">
        <v>9374</v>
      </c>
      <c r="K12332" s="5"/>
    </row>
    <row r="12333">
      <c r="A12333" s="3" t="s">
        <v>9502</v>
      </c>
      <c r="B12333" s="3" t="s">
        <v>9561</v>
      </c>
      <c r="C12333" s="3" t="s">
        <v>10104</v>
      </c>
      <c r="D12333" s="4" t="str">
        <f t="shared" si="1863"/>
        <v>12Go Link</v>
      </c>
      <c r="E12333" s="3" t="s">
        <v>9470</v>
      </c>
      <c r="K12333" s="5"/>
    </row>
    <row r="12334">
      <c r="A12334" s="3" t="s">
        <v>9502</v>
      </c>
      <c r="B12334" s="3" t="s">
        <v>9561</v>
      </c>
      <c r="C12334" s="3" t="s">
        <v>10105</v>
      </c>
      <c r="D12334" s="4" t="str">
        <f>HYPERLINK("https://12go.asia/en/travel/7-Doi-Cung-Hue/Nam-Anh-Hotel", "12Go Link")</f>
        <v>12Go Link</v>
      </c>
      <c r="E12334" s="3" t="s">
        <v>9374</v>
      </c>
      <c r="K12334" s="5"/>
    </row>
    <row r="12335">
      <c r="A12335" s="3" t="s">
        <v>9502</v>
      </c>
      <c r="B12335" s="3" t="s">
        <v>9561</v>
      </c>
      <c r="C12335" s="3" t="s">
        <v>10106</v>
      </c>
      <c r="D12335" s="4" t="str">
        <f>HYPERLINK("https://12go.asia/en/travel/86-Nguyen-Sinh-Cung/Tbus-Phongnha", "12Go Link")</f>
        <v>12Go Link</v>
      </c>
      <c r="E12335" s="3" t="s">
        <v>9733</v>
      </c>
      <c r="K12335" s="5"/>
    </row>
    <row r="12336">
      <c r="A12336" s="3" t="s">
        <v>9502</v>
      </c>
      <c r="B12336" s="3" t="s">
        <v>9561</v>
      </c>
      <c r="C12336" s="3" t="s">
        <v>10107</v>
      </c>
      <c r="D12336" s="4" t="str">
        <f t="shared" ref="D12336:D12337" si="1864">HYPERLINK("https://12go.asia/en/travel/86-Nguyen-Sinh-Cung/Thien-Phu-Hostel", "12Go Link")</f>
        <v>12Go Link</v>
      </c>
      <c r="E12336" s="3" t="s">
        <v>9474</v>
      </c>
      <c r="K12336" s="5"/>
    </row>
    <row r="12337">
      <c r="A12337" s="3" t="s">
        <v>9502</v>
      </c>
      <c r="B12337" s="3" t="s">
        <v>9561</v>
      </c>
      <c r="C12337" s="3" t="s">
        <v>10107</v>
      </c>
      <c r="D12337" s="4" t="str">
        <f t="shared" si="1864"/>
        <v>12Go Link</v>
      </c>
      <c r="E12337" s="3" t="s">
        <v>9733</v>
      </c>
      <c r="K12337" s="5"/>
    </row>
    <row r="12338">
      <c r="A12338" s="3" t="s">
        <v>9502</v>
      </c>
      <c r="B12338" s="3" t="s">
        <v>9561</v>
      </c>
      <c r="C12338" s="3" t="s">
        <v>10108</v>
      </c>
      <c r="D12338" s="4" t="str">
        <f>HYPERLINK("https://12go.asia/en/travel/Benly-Cafe/Central-Backpackers-Hostel-Phong-Nha", "12Go Link")</f>
        <v>12Go Link</v>
      </c>
      <c r="E12338" s="3" t="s">
        <v>9470</v>
      </c>
      <c r="K12338" s="5"/>
    </row>
    <row r="12339">
      <c r="A12339" s="3" t="s">
        <v>9502</v>
      </c>
      <c r="B12339" s="3" t="s">
        <v>9561</v>
      </c>
      <c r="C12339" s="3" t="s">
        <v>10109</v>
      </c>
      <c r="D12339" s="4" t="str">
        <f>HYPERLINK("https://12go.asia/en/travel/Benly-Cafe/Nam-Anh-Hotel", "12Go Link")</f>
        <v>12Go Link</v>
      </c>
      <c r="E12339" s="3" t="s">
        <v>9470</v>
      </c>
      <c r="K12339" s="5"/>
    </row>
    <row r="12340">
      <c r="A12340" s="3" t="s">
        <v>9502</v>
      </c>
      <c r="B12340" s="3" t="s">
        <v>9561</v>
      </c>
      <c r="C12340" s="3" t="s">
        <v>10110</v>
      </c>
      <c r="D12340" s="4" t="str">
        <f>HYPERLINK("https://12go.asia/en/travel/Benly-Cafe/Thien-Phu-Hostel", "12Go Link")</f>
        <v>12Go Link</v>
      </c>
      <c r="E12340" s="3" t="s">
        <v>9470</v>
      </c>
      <c r="K12340" s="5"/>
    </row>
    <row r="12341">
      <c r="A12341" s="3" t="s">
        <v>9502</v>
      </c>
      <c r="B12341" s="3" t="s">
        <v>9561</v>
      </c>
      <c r="C12341" s="3" t="s">
        <v>10111</v>
      </c>
      <c r="D12341" s="4" t="str">
        <f>HYPERLINK("https://12go.asia/en/travel/Benly-Coffee/Nam-Anh-Hotel", "12Go Link")</f>
        <v>12Go Link</v>
      </c>
      <c r="E12341" s="3" t="s">
        <v>9374</v>
      </c>
      <c r="K12341" s="5"/>
    </row>
    <row r="12342">
      <c r="A12342" s="3" t="s">
        <v>9502</v>
      </c>
      <c r="B12342" s="3" t="s">
        <v>9561</v>
      </c>
      <c r="C12342" s="3" t="s">
        <v>10112</v>
      </c>
      <c r="D12342" s="4" t="str">
        <f>HYPERLINK("https://12go.asia/en/travel/Hue-Northern-Bus-Station/Central-Backpackers-Hostel-Phong-Nha", "12Go Link")</f>
        <v>12Go Link</v>
      </c>
      <c r="E12342" s="3" t="s">
        <v>9449</v>
      </c>
      <c r="K12342" s="5"/>
    </row>
    <row r="12343">
      <c r="A12343" s="3" t="s">
        <v>9502</v>
      </c>
      <c r="B12343" s="3" t="s">
        <v>9561</v>
      </c>
      <c r="C12343" s="3" t="s">
        <v>10113</v>
      </c>
      <c r="D12343" s="4" t="str">
        <f>HYPERLINK("https://12go.asia/en/travel/Hue-Northern-Bus-Station/Nam-Anh-Hotel", "12Go Link")</f>
        <v>12Go Link</v>
      </c>
      <c r="E12343" s="3" t="s">
        <v>9449</v>
      </c>
      <c r="K12343" s="5"/>
    </row>
    <row r="12344">
      <c r="A12344" s="3" t="s">
        <v>9502</v>
      </c>
      <c r="B12344" s="3" t="s">
        <v>9561</v>
      </c>
      <c r="C12344" s="3" t="s">
        <v>10114</v>
      </c>
      <c r="D12344" s="4" t="str">
        <f>HYPERLINK("https://12go.asia/en/travel/Hue-Northern-Bus-Station/Thien-Phu-Hostel", "12Go Link")</f>
        <v>12Go Link</v>
      </c>
      <c r="E12344" s="3" t="s">
        <v>9449</v>
      </c>
      <c r="K12344" s="5"/>
    </row>
    <row r="12345">
      <c r="A12345" s="3" t="s">
        <v>9502</v>
      </c>
      <c r="B12345" s="3" t="s">
        <v>9561</v>
      </c>
      <c r="C12345" s="3" t="s">
        <v>10115</v>
      </c>
      <c r="D12345" s="4" t="str">
        <f>HYPERLINK("https://12go.asia/en/travel/Hue-Phu-Bai/Central-Backpackers-Hostel-Phong-Nha", "12Go Link")</f>
        <v>12Go Link</v>
      </c>
      <c r="E12345" s="3" t="s">
        <v>9449</v>
      </c>
      <c r="K12345" s="5"/>
    </row>
    <row r="12346">
      <c r="A12346" s="3" t="s">
        <v>9502</v>
      </c>
      <c r="B12346" s="3" t="s">
        <v>9561</v>
      </c>
      <c r="C12346" s="3" t="s">
        <v>10116</v>
      </c>
      <c r="D12346" s="4" t="str">
        <f>HYPERLINK("https://12go.asia/en/travel/Hue-Phu-Bai/Nam-Anh-Hotel", "12Go Link")</f>
        <v>12Go Link</v>
      </c>
      <c r="E12346" s="3" t="s">
        <v>9449</v>
      </c>
      <c r="K12346" s="5"/>
    </row>
    <row r="12347">
      <c r="A12347" s="3" t="s">
        <v>9502</v>
      </c>
      <c r="B12347" s="3" t="s">
        <v>9561</v>
      </c>
      <c r="C12347" s="3" t="s">
        <v>10117</v>
      </c>
      <c r="D12347" s="4" t="str">
        <f>HYPERLINK("https://12go.asia/en/travel/Hue-Phu-Bai/Thien-Phu-Hostel", "12Go Link")</f>
        <v>12Go Link</v>
      </c>
      <c r="E12347" s="3" t="s">
        <v>9449</v>
      </c>
      <c r="K12347" s="5"/>
    </row>
    <row r="12348">
      <c r="A12348" s="3" t="s">
        <v>9502</v>
      </c>
      <c r="B12348" s="3" t="s">
        <v>9561</v>
      </c>
      <c r="C12348" s="3" t="s">
        <v>10118</v>
      </c>
      <c r="D12348" s="4" t="str">
        <f>HYPERLINK("https://12go.asia/en/travel/SDT-Hue-Office/SDT-Phong-Nha-Office", "12Go Link")</f>
        <v>12Go Link</v>
      </c>
      <c r="E12348" s="3" t="s">
        <v>9465</v>
      </c>
      <c r="K12348" s="5"/>
    </row>
    <row r="12349">
      <c r="A12349" s="3" t="s">
        <v>9502</v>
      </c>
      <c r="B12349" s="3" t="s">
        <v>9573</v>
      </c>
      <c r="C12349" s="3" t="s">
        <v>10119</v>
      </c>
      <c r="D12349" s="4" t="str">
        <f>HYPERLINK("https://12go.asia/en/travel/07-Doi-Cung/Tbus-Halong", "12Go Link")</f>
        <v>12Go Link</v>
      </c>
      <c r="E12349" s="3" t="s">
        <v>9515</v>
      </c>
      <c r="K12349" s="5"/>
    </row>
    <row r="12350">
      <c r="A12350" s="3" t="s">
        <v>9502</v>
      </c>
      <c r="B12350" s="3" t="s">
        <v>9573</v>
      </c>
      <c r="C12350" s="3" t="s">
        <v>10120</v>
      </c>
      <c r="D12350" s="4" t="str">
        <f>HYPERLINK("https://12go.asia/en/travel/07-Doi-Cung/Tuan-Chau", "12Go Link")</f>
        <v>12Go Link</v>
      </c>
      <c r="E12350" s="3" t="s">
        <v>9515</v>
      </c>
      <c r="K12350" s="5"/>
    </row>
    <row r="12351">
      <c r="A12351" s="3" t="s">
        <v>9502</v>
      </c>
      <c r="B12351" s="3" t="s">
        <v>9390</v>
      </c>
      <c r="C12351" s="3" t="s">
        <v>10121</v>
      </c>
      <c r="D12351" s="4" t="str">
        <f>HYPERLINK("https://12go.asia/en/travel/26-Nguyen-Hue/Lao-Bao-Border-Check-Point", "12Go Link")</f>
        <v>12Go Link</v>
      </c>
      <c r="E12351" s="3" t="s">
        <v>9449</v>
      </c>
      <c r="K12351" s="5"/>
    </row>
    <row r="12352">
      <c r="A12352" s="3" t="s">
        <v>9502</v>
      </c>
      <c r="B12352" s="3" t="s">
        <v>9584</v>
      </c>
      <c r="C12352" s="3" t="s">
        <v>10122</v>
      </c>
      <c r="D12352" s="4" t="str">
        <f>HYPERLINK("https://12go.asia/en/travel/SDT-Hue-Office/Gold-Hotel-Ninh-Binh", "12Go Link")</f>
        <v>12Go Link</v>
      </c>
      <c r="E12352" s="3" t="s">
        <v>9449</v>
      </c>
      <c r="K12352" s="5"/>
    </row>
    <row r="12353">
      <c r="A12353" s="3" t="s">
        <v>9602</v>
      </c>
      <c r="B12353" s="3" t="s">
        <v>9601</v>
      </c>
      <c r="C12353" s="3" t="s">
        <v>10123</v>
      </c>
      <c r="D12353" s="4" t="str">
        <f>HYPERLINK("https://12go.asia/en/travel/Nha-Trang/1040-Hung-Vuong", "12Go Link")</f>
        <v>12Go Link</v>
      </c>
      <c r="E12353" s="3" t="s">
        <v>9449</v>
      </c>
      <c r="K12353" s="5"/>
    </row>
    <row r="12354">
      <c r="A12354" s="3" t="s">
        <v>9602</v>
      </c>
      <c r="B12354" s="3" t="s">
        <v>9601</v>
      </c>
      <c r="C12354" s="3" t="s">
        <v>10124</v>
      </c>
      <c r="D12354" s="4" t="str">
        <f>HYPERLINK("https://12go.asia/en/travel/Nha-Trang/Duc-Long-Gia-Lai-Bus-Station", "12Go Link")</f>
        <v>12Go Link</v>
      </c>
      <c r="E12354" s="3" t="s">
        <v>9449</v>
      </c>
      <c r="K12354" s="5"/>
    </row>
    <row r="12355">
      <c r="A12355" s="3" t="s">
        <v>9602</v>
      </c>
      <c r="B12355" s="3" t="s">
        <v>9601</v>
      </c>
      <c r="C12355" s="3" t="s">
        <v>10125</v>
      </c>
      <c r="D12355" s="4" t="str">
        <f>HYPERLINK("https://12go.asia/en/travel/Nha-Trang/Ham-Rong", "12Go Link")</f>
        <v>12Go Link</v>
      </c>
      <c r="E12355" s="3" t="s">
        <v>9449</v>
      </c>
      <c r="K12355" s="5"/>
    </row>
    <row r="12356">
      <c r="A12356" s="3" t="s">
        <v>9602</v>
      </c>
      <c r="B12356" s="3" t="s">
        <v>9601</v>
      </c>
      <c r="C12356" s="3" t="s">
        <v>10126</v>
      </c>
      <c r="D12356" s="4" t="str">
        <f>HYPERLINK("https://12go.asia/en/travel/Nha-Trang/My-Thach", "12Go Link")</f>
        <v>12Go Link</v>
      </c>
      <c r="E12356" s="3" t="s">
        <v>9449</v>
      </c>
      <c r="K12356" s="5"/>
    </row>
    <row r="12357">
      <c r="A12357" s="3" t="s">
        <v>9602</v>
      </c>
      <c r="B12357" s="3" t="s">
        <v>9658</v>
      </c>
      <c r="C12357" s="3" t="s">
        <v>10127</v>
      </c>
      <c r="D12357" s="4" t="str">
        <f>HYPERLINK("https://12go.asia/en/travel/khanh-hoa/ha-tinh", "12Go Link")</f>
        <v>12Go Link</v>
      </c>
      <c r="E12357" s="3" t="s">
        <v>94</v>
      </c>
      <c r="K12357" s="5"/>
    </row>
    <row r="12358">
      <c r="A12358" s="3" t="s">
        <v>9602</v>
      </c>
      <c r="B12358" s="3" t="s">
        <v>10128</v>
      </c>
      <c r="C12358" s="3" t="s">
        <v>10129</v>
      </c>
      <c r="D12358" s="4" t="str">
        <f>HYPERLINK("https://12go.asia/en/travel/Nha-Trang/Bo-Y-International-Border-Gate", "12Go Link")</f>
        <v>12Go Link</v>
      </c>
      <c r="E12358" s="3" t="s">
        <v>9449</v>
      </c>
      <c r="K12358" s="5"/>
    </row>
    <row r="12359">
      <c r="A12359" s="3" t="s">
        <v>9602</v>
      </c>
      <c r="B12359" s="3" t="s">
        <v>10128</v>
      </c>
      <c r="C12359" s="3" t="s">
        <v>10130</v>
      </c>
      <c r="D12359" s="4" t="str">
        <f>HYPERLINK("https://12go.asia/en/travel/Nha-Trang/Kon-Tum", "12Go Link")</f>
        <v>12Go Link</v>
      </c>
      <c r="E12359" s="3" t="s">
        <v>9449</v>
      </c>
      <c r="K12359" s="5"/>
    </row>
    <row r="12360">
      <c r="A12360" s="3" t="s">
        <v>9602</v>
      </c>
      <c r="B12360" s="3" t="s">
        <v>10128</v>
      </c>
      <c r="C12360" s="3" t="s">
        <v>10131</v>
      </c>
      <c r="D12360" s="4" t="str">
        <f>HYPERLINK("https://12go.asia/en/travel/Nha-Trang/Ngoc-Hoi-Bus-Station", "12Go Link")</f>
        <v>12Go Link</v>
      </c>
      <c r="E12360" s="3" t="s">
        <v>9449</v>
      </c>
      <c r="K12360" s="5"/>
    </row>
    <row r="12361">
      <c r="A12361" s="3" t="s">
        <v>10128</v>
      </c>
      <c r="B12361" s="3" t="s">
        <v>9602</v>
      </c>
      <c r="C12361" s="3" t="s">
        <v>10132</v>
      </c>
      <c r="D12361" s="4" t="str">
        <f>HYPERLINK("https://12go.asia/en/travel/Bo-Y-International-Border-Gate/Nha-Trang", "12Go Link")</f>
        <v>12Go Link</v>
      </c>
      <c r="E12361" s="3" t="s">
        <v>9449</v>
      </c>
      <c r="K12361" s="5"/>
    </row>
    <row r="12362">
      <c r="A12362" s="3" t="s">
        <v>10128</v>
      </c>
      <c r="B12362" s="3" t="s">
        <v>9602</v>
      </c>
      <c r="C12362" s="3" t="s">
        <v>10133</v>
      </c>
      <c r="D12362" s="4" t="str">
        <f>HYPERLINK("https://12go.asia/en/travel/Ngoc-Hoi-Bus-Station/Nha-Trang", "12Go Link")</f>
        <v>12Go Link</v>
      </c>
      <c r="E12362" s="3" t="s">
        <v>9449</v>
      </c>
      <c r="K12362" s="5"/>
    </row>
    <row r="12363">
      <c r="A12363" s="3" t="s">
        <v>10128</v>
      </c>
      <c r="B12363" s="3" t="s">
        <v>9397</v>
      </c>
      <c r="C12363" s="3" t="s">
        <v>10134</v>
      </c>
      <c r="D12363" s="4" t="str">
        <f>HYPERLINK("https://12go.asia/en/travel/Bo-Y-International-Border-Gate/77-Thai-Nguyen-Nha-Trang", "12Go Link")</f>
        <v>12Go Link</v>
      </c>
      <c r="E12363" s="3" t="s">
        <v>9449</v>
      </c>
      <c r="K12363" s="5"/>
    </row>
    <row r="12364">
      <c r="A12364" s="3" t="s">
        <v>10128</v>
      </c>
      <c r="B12364" s="3" t="s">
        <v>9397</v>
      </c>
      <c r="C12364" s="3" t="s">
        <v>10135</v>
      </c>
      <c r="D12364" s="4" t="str">
        <f>HYPERLINK("https://12go.asia/en/travel/Ngoc-Hoi-Bus-Station/77-Thai-Nguyen-Nha-Trang", "12Go Link")</f>
        <v>12Go Link</v>
      </c>
      <c r="E12364" s="3" t="s">
        <v>9449</v>
      </c>
      <c r="K12364" s="5"/>
    </row>
    <row r="12365">
      <c r="A12365" s="3" t="s">
        <v>9386</v>
      </c>
      <c r="B12365" s="3" t="s">
        <v>9371</v>
      </c>
      <c r="C12365" s="3" t="s">
        <v>10136</v>
      </c>
      <c r="D12365" s="4" t="str">
        <f>HYPERLINK("https://12go.asia/en/travel/Lac-Duong-Da-Lat/Ben-Cat", "12Go Link")</f>
        <v>12Go Link</v>
      </c>
      <c r="E12365" s="3" t="s">
        <v>316</v>
      </c>
      <c r="K12365" s="5"/>
    </row>
    <row r="12366">
      <c r="A12366" s="3" t="s">
        <v>9386</v>
      </c>
      <c r="B12366" s="3" t="s">
        <v>9371</v>
      </c>
      <c r="C12366" s="3" t="s">
        <v>10137</v>
      </c>
      <c r="D12366" s="4" t="str">
        <f>HYPERLINK("https://12go.asia/en/travel/Lac-Duong-Da-Lat/Thu-Dau-Mot-Binh-Duong", "12Go Link")</f>
        <v>12Go Link</v>
      </c>
      <c r="E12366" s="3" t="s">
        <v>316</v>
      </c>
      <c r="K12366" s="5"/>
    </row>
    <row r="12367">
      <c r="A12367" s="3" t="s">
        <v>9386</v>
      </c>
      <c r="B12367" s="3" t="s">
        <v>9447</v>
      </c>
      <c r="C12367" s="3" t="s">
        <v>10138</v>
      </c>
      <c r="D12367" s="4" t="str">
        <f>HYPERLINK("https://12go.asia/en/travel/271-Nguyen-Tu-Luc/90-Hoang-Thi-Loan", "12Go Link")</f>
        <v>12Go Link</v>
      </c>
      <c r="E12367" s="3" t="s">
        <v>9449</v>
      </c>
      <c r="K12367" s="5"/>
    </row>
    <row r="12368">
      <c r="A12368" s="3" t="s">
        <v>9386</v>
      </c>
      <c r="B12368" s="3" t="s">
        <v>9447</v>
      </c>
      <c r="C12368" s="3" t="s">
        <v>10139</v>
      </c>
      <c r="D12368" s="4" t="str">
        <f t="shared" ref="D12368:D12369" si="1865">HYPERLINK("https://12go.asia/en/travel/4-Hoang-Dieu/Danang-SSB", "12Go Link")</f>
        <v>12Go Link</v>
      </c>
      <c r="E12368" s="3" t="s">
        <v>9616</v>
      </c>
      <c r="K12368" s="5"/>
    </row>
    <row r="12369">
      <c r="A12369" s="3" t="s">
        <v>9386</v>
      </c>
      <c r="B12369" s="3" t="s">
        <v>9447</v>
      </c>
      <c r="C12369" s="3" t="s">
        <v>10139</v>
      </c>
      <c r="D12369" s="4" t="str">
        <f t="shared" si="1865"/>
        <v>12Go Link</v>
      </c>
      <c r="E12369" s="3" t="s">
        <v>9450</v>
      </c>
      <c r="K12369" s="5"/>
    </row>
    <row r="12370">
      <c r="A12370" s="3" t="s">
        <v>9386</v>
      </c>
      <c r="B12370" s="3" t="s">
        <v>9410</v>
      </c>
      <c r="C12370" s="3" t="s">
        <v>10140</v>
      </c>
      <c r="D12370" s="4" t="str">
        <f t="shared" ref="D12370:D12373" si="1866">HYPERLINK("https://12go.asia/en/travel/Lac-Duong-Da-Lat/Park-30-4-Bien-Hoa", "12Go Link")</f>
        <v>12Go Link</v>
      </c>
      <c r="E12370" s="3" t="s">
        <v>9374</v>
      </c>
      <c r="K12370" s="5"/>
    </row>
    <row r="12371">
      <c r="A12371" s="3" t="s">
        <v>9386</v>
      </c>
      <c r="B12371" s="3" t="s">
        <v>9410</v>
      </c>
      <c r="C12371" s="3" t="s">
        <v>10140</v>
      </c>
      <c r="D12371" s="4" t="str">
        <f t="shared" si="1866"/>
        <v>12Go Link</v>
      </c>
      <c r="E12371" s="3" t="s">
        <v>316</v>
      </c>
      <c r="K12371" s="5"/>
    </row>
    <row r="12372">
      <c r="A12372" s="3" t="s">
        <v>9386</v>
      </c>
      <c r="B12372" s="3" t="s">
        <v>9410</v>
      </c>
      <c r="C12372" s="3" t="s">
        <v>10140</v>
      </c>
      <c r="D12372" s="4" t="str">
        <f t="shared" si="1866"/>
        <v>12Go Link</v>
      </c>
      <c r="E12372" s="3" t="s">
        <v>9412</v>
      </c>
      <c r="K12372" s="5"/>
    </row>
    <row r="12373">
      <c r="A12373" s="3" t="s">
        <v>9386</v>
      </c>
      <c r="B12373" s="3" t="s">
        <v>9410</v>
      </c>
      <c r="C12373" s="3" t="s">
        <v>10140</v>
      </c>
      <c r="D12373" s="4" t="str">
        <f t="shared" si="1866"/>
        <v>12Go Link</v>
      </c>
      <c r="E12373" s="3" t="s">
        <v>9413</v>
      </c>
      <c r="K12373" s="5"/>
    </row>
    <row r="12374">
      <c r="A12374" s="3" t="s">
        <v>9386</v>
      </c>
      <c r="B12374" s="3" t="s">
        <v>9419</v>
      </c>
      <c r="C12374" s="3" t="s">
        <v>10141</v>
      </c>
      <c r="D12374" s="4" t="str">
        <f t="shared" ref="D12374:D12376" si="1867">HYPERLINK("https://12go.asia/en/travel/Lac-Duong-Da-Lat/144-Nguyen-Van-Luong", "12Go Link")</f>
        <v>12Go Link</v>
      </c>
      <c r="E12374" s="3" t="s">
        <v>9374</v>
      </c>
      <c r="K12374" s="5"/>
    </row>
    <row r="12375">
      <c r="A12375" s="3" t="s">
        <v>9386</v>
      </c>
      <c r="B12375" s="3" t="s">
        <v>9419</v>
      </c>
      <c r="C12375" s="3" t="s">
        <v>10141</v>
      </c>
      <c r="D12375" s="4" t="str">
        <f t="shared" si="1867"/>
        <v>12Go Link</v>
      </c>
      <c r="E12375" s="3" t="s">
        <v>9412</v>
      </c>
      <c r="K12375" s="5"/>
    </row>
    <row r="12376">
      <c r="A12376" s="3" t="s">
        <v>9386</v>
      </c>
      <c r="B12376" s="3" t="s">
        <v>9419</v>
      </c>
      <c r="C12376" s="3" t="s">
        <v>10141</v>
      </c>
      <c r="D12376" s="4" t="str">
        <f t="shared" si="1867"/>
        <v>12Go Link</v>
      </c>
      <c r="E12376" s="3" t="s">
        <v>9413</v>
      </c>
      <c r="K12376" s="5"/>
    </row>
    <row r="12377">
      <c r="A12377" s="3" t="s">
        <v>9386</v>
      </c>
      <c r="B12377" s="3" t="s">
        <v>9419</v>
      </c>
      <c r="C12377" s="3" t="s">
        <v>10142</v>
      </c>
      <c r="D12377" s="4" t="str">
        <f t="shared" ref="D12377:D12380" si="1868">HYPERLINK("https://12go.asia/en/travel/Lac-Duong-Da-Lat/Binh-Phuoc-intersection", "12Go Link")</f>
        <v>12Go Link</v>
      </c>
      <c r="E12377" s="3" t="s">
        <v>9374</v>
      </c>
      <c r="K12377" s="5"/>
    </row>
    <row r="12378">
      <c r="A12378" s="3" t="s">
        <v>9386</v>
      </c>
      <c r="B12378" s="3" t="s">
        <v>9419</v>
      </c>
      <c r="C12378" s="3" t="s">
        <v>10142</v>
      </c>
      <c r="D12378" s="4" t="str">
        <f t="shared" si="1868"/>
        <v>12Go Link</v>
      </c>
      <c r="E12378" s="3" t="s">
        <v>316</v>
      </c>
      <c r="K12378" s="5"/>
    </row>
    <row r="12379">
      <c r="A12379" s="3" t="s">
        <v>9386</v>
      </c>
      <c r="B12379" s="3" t="s">
        <v>9419</v>
      </c>
      <c r="C12379" s="3" t="s">
        <v>10142</v>
      </c>
      <c r="D12379" s="4" t="str">
        <f t="shared" si="1868"/>
        <v>12Go Link</v>
      </c>
      <c r="E12379" s="3" t="s">
        <v>9412</v>
      </c>
      <c r="K12379" s="5"/>
    </row>
    <row r="12380">
      <c r="A12380" s="3" t="s">
        <v>9386</v>
      </c>
      <c r="B12380" s="3" t="s">
        <v>9419</v>
      </c>
      <c r="C12380" s="3" t="s">
        <v>10142</v>
      </c>
      <c r="D12380" s="4" t="str">
        <f t="shared" si="1868"/>
        <v>12Go Link</v>
      </c>
      <c r="E12380" s="3" t="s">
        <v>9413</v>
      </c>
      <c r="K12380" s="5"/>
    </row>
    <row r="12381">
      <c r="A12381" s="3" t="s">
        <v>9386</v>
      </c>
      <c r="B12381" s="3" t="s">
        <v>9419</v>
      </c>
      <c r="C12381" s="3" t="s">
        <v>10143</v>
      </c>
      <c r="D12381" s="4" t="str">
        <f t="shared" ref="D12381:D12383" si="1869">HYPERLINK("https://12go.asia/en/travel/Lac-Duong-Da-Lat/Binh-Thanh", "12Go Link")</f>
        <v>12Go Link</v>
      </c>
      <c r="E12381" s="3" t="s">
        <v>9374</v>
      </c>
      <c r="K12381" s="5"/>
    </row>
    <row r="12382">
      <c r="A12382" s="3" t="s">
        <v>9386</v>
      </c>
      <c r="B12382" s="3" t="s">
        <v>9419</v>
      </c>
      <c r="C12382" s="3" t="s">
        <v>10143</v>
      </c>
      <c r="D12382" s="4" t="str">
        <f t="shared" si="1869"/>
        <v>12Go Link</v>
      </c>
      <c r="E12382" s="3" t="s">
        <v>9412</v>
      </c>
      <c r="K12382" s="5"/>
    </row>
    <row r="12383">
      <c r="A12383" s="3" t="s">
        <v>9386</v>
      </c>
      <c r="B12383" s="3" t="s">
        <v>9419</v>
      </c>
      <c r="C12383" s="3" t="s">
        <v>10143</v>
      </c>
      <c r="D12383" s="4" t="str">
        <f t="shared" si="1869"/>
        <v>12Go Link</v>
      </c>
      <c r="E12383" s="3" t="s">
        <v>9413</v>
      </c>
      <c r="K12383" s="5"/>
    </row>
    <row r="12384">
      <c r="A12384" s="3" t="s">
        <v>9386</v>
      </c>
      <c r="B12384" s="3" t="s">
        <v>9419</v>
      </c>
      <c r="C12384" s="3" t="s">
        <v>10144</v>
      </c>
      <c r="D12384" s="4" t="str">
        <f t="shared" ref="D12384:D12386" si="1870">HYPERLINK("https://12go.asia/en/travel/Lac-Duong-Da-Lat/District-10", "12Go Link")</f>
        <v>12Go Link</v>
      </c>
      <c r="E12384" s="3" t="s">
        <v>9374</v>
      </c>
      <c r="K12384" s="5"/>
    </row>
    <row r="12385">
      <c r="A12385" s="3" t="s">
        <v>9386</v>
      </c>
      <c r="B12385" s="3" t="s">
        <v>9419</v>
      </c>
      <c r="C12385" s="3" t="s">
        <v>10144</v>
      </c>
      <c r="D12385" s="4" t="str">
        <f t="shared" si="1870"/>
        <v>12Go Link</v>
      </c>
      <c r="E12385" s="3" t="s">
        <v>9412</v>
      </c>
      <c r="K12385" s="5"/>
    </row>
    <row r="12386">
      <c r="A12386" s="3" t="s">
        <v>9386</v>
      </c>
      <c r="B12386" s="3" t="s">
        <v>9419</v>
      </c>
      <c r="C12386" s="3" t="s">
        <v>10144</v>
      </c>
      <c r="D12386" s="4" t="str">
        <f t="shared" si="1870"/>
        <v>12Go Link</v>
      </c>
      <c r="E12386" s="3" t="s">
        <v>9413</v>
      </c>
      <c r="K12386" s="5"/>
    </row>
    <row r="12387">
      <c r="A12387" s="3" t="s">
        <v>9386</v>
      </c>
      <c r="B12387" s="3" t="s">
        <v>9419</v>
      </c>
      <c r="C12387" s="3" t="s">
        <v>10145</v>
      </c>
      <c r="D12387" s="4" t="str">
        <f t="shared" ref="D12387:D12389" si="1871">HYPERLINK("https://12go.asia/en/travel/Lac-Duong-Da-Lat/District-5", "12Go Link")</f>
        <v>12Go Link</v>
      </c>
      <c r="E12387" s="3" t="s">
        <v>9374</v>
      </c>
      <c r="K12387" s="5"/>
    </row>
    <row r="12388">
      <c r="A12388" s="3" t="s">
        <v>9386</v>
      </c>
      <c r="B12388" s="3" t="s">
        <v>9419</v>
      </c>
      <c r="C12388" s="3" t="s">
        <v>10145</v>
      </c>
      <c r="D12388" s="4" t="str">
        <f t="shared" si="1871"/>
        <v>12Go Link</v>
      </c>
      <c r="E12388" s="3" t="s">
        <v>9412</v>
      </c>
      <c r="K12388" s="5"/>
    </row>
    <row r="12389">
      <c r="A12389" s="3" t="s">
        <v>9386</v>
      </c>
      <c r="B12389" s="3" t="s">
        <v>9419</v>
      </c>
      <c r="C12389" s="3" t="s">
        <v>10145</v>
      </c>
      <c r="D12389" s="4" t="str">
        <f t="shared" si="1871"/>
        <v>12Go Link</v>
      </c>
      <c r="E12389" s="3" t="s">
        <v>9413</v>
      </c>
      <c r="K12389" s="5"/>
    </row>
    <row r="12390">
      <c r="A12390" s="3" t="s">
        <v>9386</v>
      </c>
      <c r="B12390" s="3" t="s">
        <v>9419</v>
      </c>
      <c r="C12390" s="3" t="s">
        <v>10146</v>
      </c>
      <c r="D12390" s="4" t="str">
        <f t="shared" ref="D12390:D12393" si="1872">HYPERLINK("https://12go.asia/en/travel/Lac-Duong-Da-Lat/Suoi-Tien", "12Go Link")</f>
        <v>12Go Link</v>
      </c>
      <c r="E12390" s="3" t="s">
        <v>9374</v>
      </c>
      <c r="K12390" s="5"/>
    </row>
    <row r="12391">
      <c r="A12391" s="3" t="s">
        <v>9386</v>
      </c>
      <c r="B12391" s="3" t="s">
        <v>9419</v>
      </c>
      <c r="C12391" s="3" t="s">
        <v>10146</v>
      </c>
      <c r="D12391" s="4" t="str">
        <f t="shared" si="1872"/>
        <v>12Go Link</v>
      </c>
      <c r="E12391" s="3" t="s">
        <v>316</v>
      </c>
      <c r="K12391" s="5"/>
    </row>
    <row r="12392">
      <c r="A12392" s="3" t="s">
        <v>9386</v>
      </c>
      <c r="B12392" s="3" t="s">
        <v>9419</v>
      </c>
      <c r="C12392" s="3" t="s">
        <v>10146</v>
      </c>
      <c r="D12392" s="4" t="str">
        <f t="shared" si="1872"/>
        <v>12Go Link</v>
      </c>
      <c r="E12392" s="3" t="s">
        <v>9412</v>
      </c>
      <c r="K12392" s="5"/>
    </row>
    <row r="12393">
      <c r="A12393" s="3" t="s">
        <v>9386</v>
      </c>
      <c r="B12393" s="3" t="s">
        <v>9419</v>
      </c>
      <c r="C12393" s="3" t="s">
        <v>10146</v>
      </c>
      <c r="D12393" s="4" t="str">
        <f t="shared" si="1872"/>
        <v>12Go Link</v>
      </c>
      <c r="E12393" s="3" t="s">
        <v>9413</v>
      </c>
      <c r="K12393" s="5"/>
    </row>
    <row r="12394">
      <c r="A12394" s="3" t="s">
        <v>9386</v>
      </c>
      <c r="B12394" s="3" t="s">
        <v>9419</v>
      </c>
      <c r="C12394" s="3" t="s">
        <v>10147</v>
      </c>
      <c r="D12394" s="4" t="str">
        <f t="shared" ref="D12394:D12396" si="1873">HYPERLINK("https://12go.asia/en/travel/Lac-Duong-Da-Lat/Tan-Binh", "12Go Link")</f>
        <v>12Go Link</v>
      </c>
      <c r="E12394" s="3" t="s">
        <v>9374</v>
      </c>
      <c r="K12394" s="5"/>
    </row>
    <row r="12395">
      <c r="A12395" s="3" t="s">
        <v>9386</v>
      </c>
      <c r="B12395" s="3" t="s">
        <v>9419</v>
      </c>
      <c r="C12395" s="3" t="s">
        <v>10147</v>
      </c>
      <c r="D12395" s="4" t="str">
        <f t="shared" si="1873"/>
        <v>12Go Link</v>
      </c>
      <c r="E12395" s="3" t="s">
        <v>9412</v>
      </c>
      <c r="K12395" s="5"/>
    </row>
    <row r="12396">
      <c r="A12396" s="3" t="s">
        <v>9386</v>
      </c>
      <c r="B12396" s="3" t="s">
        <v>9419</v>
      </c>
      <c r="C12396" s="3" t="s">
        <v>10147</v>
      </c>
      <c r="D12396" s="4" t="str">
        <f t="shared" si="1873"/>
        <v>12Go Link</v>
      </c>
      <c r="E12396" s="3" t="s">
        <v>9413</v>
      </c>
      <c r="K12396" s="5"/>
    </row>
    <row r="12397">
      <c r="A12397" s="3" t="s">
        <v>9386</v>
      </c>
      <c r="B12397" s="3" t="s">
        <v>9487</v>
      </c>
      <c r="C12397" s="3" t="s">
        <v>10148</v>
      </c>
      <c r="D12397" s="4" t="str">
        <f>HYPERLINK("https://12go.asia/en/travel/271-Nguyen-Tu-Luc/Pool-Side-Villa", "12Go Link")</f>
        <v>12Go Link</v>
      </c>
      <c r="E12397" s="3" t="s">
        <v>9449</v>
      </c>
      <c r="K12397" s="5"/>
    </row>
    <row r="12398">
      <c r="A12398" s="3" t="s">
        <v>9386</v>
      </c>
      <c r="B12398" s="3" t="s">
        <v>9487</v>
      </c>
      <c r="C12398" s="3" t="s">
        <v>10149</v>
      </c>
      <c r="D12398" s="4" t="str">
        <f t="shared" ref="D12398:D12399" si="1874">HYPERLINK("https://12go.asia/en/travel/4-Hoang-Dieu/23-Nguyen-Tat-Thanh", "12Go Link")</f>
        <v>12Go Link</v>
      </c>
      <c r="E12398" s="3" t="s">
        <v>9616</v>
      </c>
      <c r="K12398" s="5"/>
    </row>
    <row r="12399">
      <c r="A12399" s="3" t="s">
        <v>9386</v>
      </c>
      <c r="B12399" s="3" t="s">
        <v>9487</v>
      </c>
      <c r="C12399" s="3" t="s">
        <v>10149</v>
      </c>
      <c r="D12399" s="4" t="str">
        <f t="shared" si="1874"/>
        <v>12Go Link</v>
      </c>
      <c r="E12399" s="3" t="s">
        <v>9533</v>
      </c>
      <c r="K12399" s="5"/>
    </row>
    <row r="12400">
      <c r="A12400" s="3" t="s">
        <v>9386</v>
      </c>
      <c r="B12400" s="3" t="s">
        <v>9502</v>
      </c>
      <c r="C12400" s="3" t="s">
        <v>10150</v>
      </c>
      <c r="D12400" s="4" t="str">
        <f>HYPERLINK("https://12go.asia/en/travel/4-Hoang-Dieu/Hue-Luxury-SSB", "12Go Link")</f>
        <v>12Go Link</v>
      </c>
      <c r="E12400" s="3" t="s">
        <v>9450</v>
      </c>
      <c r="K12400" s="5"/>
    </row>
    <row r="12401">
      <c r="A12401" s="3" t="s">
        <v>9386</v>
      </c>
      <c r="B12401" s="3" t="s">
        <v>9397</v>
      </c>
      <c r="C12401" s="3" t="s">
        <v>10151</v>
      </c>
      <c r="D12401" s="4" t="str">
        <f>HYPERLINK("https://12go.asia/en/travel/271-Nguyen-Tu-Luc/Nha-Trang-Southern-Bus-Station", "12Go Link")</f>
        <v>12Go Link</v>
      </c>
      <c r="E12401" s="3" t="s">
        <v>9449</v>
      </c>
      <c r="K12401" s="5"/>
    </row>
    <row r="12402">
      <c r="A12402" s="3" t="s">
        <v>9386</v>
      </c>
      <c r="B12402" s="3" t="s">
        <v>9397</v>
      </c>
      <c r="C12402" s="3" t="s">
        <v>10152</v>
      </c>
      <c r="D12402" s="4" t="str">
        <f>HYPERLINK("https://12go.asia/en/travel/4-Hoang-Dieu/34-Thich-Quang-Duc", "12Go Link")</f>
        <v>12Go Link</v>
      </c>
      <c r="E12402" s="3" t="s">
        <v>9533</v>
      </c>
      <c r="K12402" s="5"/>
    </row>
    <row r="12403">
      <c r="A12403" s="3" t="s">
        <v>9386</v>
      </c>
      <c r="B12403" s="3" t="s">
        <v>9539</v>
      </c>
      <c r="C12403" s="3" t="s">
        <v>10153</v>
      </c>
      <c r="D12403" s="4" t="str">
        <f>HYPERLINK("https://12go.asia/en/travel/4-Hoang-Dieu/Ninh-Binh-SSB", "12Go Link")</f>
        <v>12Go Link</v>
      </c>
      <c r="E12403" s="3" t="s">
        <v>9648</v>
      </c>
      <c r="K12403" s="5"/>
    </row>
    <row r="12404">
      <c r="A12404" s="3" t="s">
        <v>9639</v>
      </c>
      <c r="B12404" s="3" t="s">
        <v>9466</v>
      </c>
      <c r="C12404" s="3" t="s">
        <v>10154</v>
      </c>
      <c r="D12404" s="4" t="str">
        <f>HYPERLINK("https://12go.asia/en/travel/494-Duong-Dien-Bien-Phu/Hanoi-Noi-Bai-Airport", "12Go Link")</f>
        <v>12Go Link</v>
      </c>
      <c r="E12404" s="3" t="s">
        <v>9636</v>
      </c>
      <c r="K12404" s="5"/>
    </row>
    <row r="12405">
      <c r="A12405" s="3" t="s">
        <v>9639</v>
      </c>
      <c r="B12405" s="3" t="s">
        <v>9466</v>
      </c>
      <c r="C12405" s="3" t="s">
        <v>10155</v>
      </c>
      <c r="D12405" s="4" t="str">
        <f t="shared" ref="D12405:D12407" si="1875">HYPERLINK("https://12go.asia/en/travel/494-Duong-Dien-Bien-Phu/Hanoi-Opera-House", "12Go Link")</f>
        <v>12Go Link</v>
      </c>
      <c r="E12405" s="3" t="s">
        <v>9636</v>
      </c>
      <c r="K12405" s="5"/>
    </row>
    <row r="12406">
      <c r="A12406" s="3" t="s">
        <v>9639</v>
      </c>
      <c r="B12406" s="3" t="s">
        <v>9466</v>
      </c>
      <c r="C12406" s="3" t="s">
        <v>10155</v>
      </c>
      <c r="D12406" s="4" t="str">
        <f t="shared" si="1875"/>
        <v>12Go Link</v>
      </c>
      <c r="E12406" s="3" t="s">
        <v>10156</v>
      </c>
      <c r="K12406" s="5"/>
    </row>
    <row r="12407">
      <c r="A12407" s="3" t="s">
        <v>9639</v>
      </c>
      <c r="B12407" s="3" t="s">
        <v>9466</v>
      </c>
      <c r="C12407" s="3" t="s">
        <v>10155</v>
      </c>
      <c r="D12407" s="4" t="str">
        <f t="shared" si="1875"/>
        <v>12Go Link</v>
      </c>
      <c r="E12407" s="3" t="s">
        <v>9802</v>
      </c>
      <c r="K12407" s="5"/>
    </row>
    <row r="12408">
      <c r="A12408" s="3" t="s">
        <v>9639</v>
      </c>
      <c r="B12408" s="3" t="s">
        <v>9466</v>
      </c>
      <c r="C12408" s="3" t="s">
        <v>10157</v>
      </c>
      <c r="D12408" s="4" t="str">
        <f t="shared" ref="D12408:D12409" si="1876">HYPERLINK("https://12go.asia/en/travel/Bus-Sapa-494-Dien-Bien-Phu/Hanoi-Opera-House", "12Go Link")</f>
        <v>12Go Link</v>
      </c>
      <c r="E12408" s="3" t="s">
        <v>10156</v>
      </c>
      <c r="K12408" s="5"/>
    </row>
    <row r="12409">
      <c r="A12409" s="3" t="s">
        <v>9639</v>
      </c>
      <c r="B12409" s="3" t="s">
        <v>9466</v>
      </c>
      <c r="C12409" s="3" t="s">
        <v>10157</v>
      </c>
      <c r="D12409" s="4" t="str">
        <f t="shared" si="1876"/>
        <v>12Go Link</v>
      </c>
      <c r="E12409" s="3" t="s">
        <v>9802</v>
      </c>
      <c r="K12409" s="5"/>
    </row>
    <row r="12410">
      <c r="A12410" s="3" t="s">
        <v>9684</v>
      </c>
      <c r="B12410" s="3" t="s">
        <v>9466</v>
      </c>
      <c r="C12410" s="3" t="s">
        <v>10158</v>
      </c>
      <c r="D12410" s="4" t="str">
        <f>HYPERLINK("https://12go.asia/en/travel/Nga-Ba-Kim-Market/Big-C-Long-Bien", "12Go Link")</f>
        <v>12Go Link</v>
      </c>
      <c r="E12410" s="3" t="s">
        <v>9450</v>
      </c>
      <c r="K12410" s="5"/>
    </row>
    <row r="12411">
      <c r="A12411" s="3" t="s">
        <v>9684</v>
      </c>
      <c r="B12411" s="3" t="s">
        <v>9466</v>
      </c>
      <c r="C12411" s="3" t="s">
        <v>10159</v>
      </c>
      <c r="D12411" s="4" t="str">
        <f>HYPERLINK("https://12go.asia/en/travel/Vua-Xu-Mu-Cafe/Big-C-Long-Bien", "12Go Link")</f>
        <v>12Go Link</v>
      </c>
      <c r="E12411" s="3" t="s">
        <v>9450</v>
      </c>
      <c r="K12411" s="5"/>
    </row>
    <row r="12412">
      <c r="A12412" s="3" t="s">
        <v>9531</v>
      </c>
      <c r="B12412" s="3" t="s">
        <v>9393</v>
      </c>
      <c r="C12412" s="3" t="s">
        <v>10160</v>
      </c>
      <c r="D12412" s="4" t="str">
        <f t="shared" ref="D12412:D12416" si="1877">HYPERLINK("https://12go.asia/en/travel/Mui-Ne/Cam-Ranh-Airport", "12Go Link")</f>
        <v>12Go Link</v>
      </c>
      <c r="E12412" s="3" t="s">
        <v>222</v>
      </c>
      <c r="K12412" s="5"/>
    </row>
    <row r="12413">
      <c r="A12413" s="3" t="s">
        <v>9531</v>
      </c>
      <c r="B12413" s="3" t="s">
        <v>9393</v>
      </c>
      <c r="C12413" s="3" t="s">
        <v>10160</v>
      </c>
      <c r="D12413" s="4" t="str">
        <f t="shared" si="1877"/>
        <v>12Go Link</v>
      </c>
      <c r="E12413" s="3" t="s">
        <v>6599</v>
      </c>
      <c r="K12413" s="5"/>
    </row>
    <row r="12414">
      <c r="A12414" s="3" t="s">
        <v>9531</v>
      </c>
      <c r="B12414" s="3" t="s">
        <v>9393</v>
      </c>
      <c r="C12414" s="3" t="s">
        <v>10160</v>
      </c>
      <c r="D12414" s="4" t="str">
        <f t="shared" si="1877"/>
        <v>12Go Link</v>
      </c>
      <c r="E12414" s="3" t="s">
        <v>9395</v>
      </c>
      <c r="K12414" s="5"/>
    </row>
    <row r="12415">
      <c r="A12415" s="3" t="s">
        <v>9531</v>
      </c>
      <c r="B12415" s="3" t="s">
        <v>9393</v>
      </c>
      <c r="C12415" s="3" t="s">
        <v>10160</v>
      </c>
      <c r="D12415" s="4" t="str">
        <f t="shared" si="1877"/>
        <v>12Go Link</v>
      </c>
      <c r="E12415" s="3" t="s">
        <v>9396</v>
      </c>
      <c r="K12415" s="5"/>
    </row>
    <row r="12416">
      <c r="A12416" s="3" t="s">
        <v>9531</v>
      </c>
      <c r="B12416" s="3" t="s">
        <v>9393</v>
      </c>
      <c r="C12416" s="3" t="s">
        <v>10160</v>
      </c>
      <c r="D12416" s="4" t="str">
        <f t="shared" si="1877"/>
        <v>12Go Link</v>
      </c>
      <c r="E12416" s="3" t="s">
        <v>7470</v>
      </c>
      <c r="K12416" s="5"/>
    </row>
    <row r="12417">
      <c r="A12417" s="3" t="s">
        <v>9531</v>
      </c>
      <c r="B12417" s="3" t="s">
        <v>9393</v>
      </c>
      <c r="C12417" s="3" t="s">
        <v>10161</v>
      </c>
      <c r="D12417" s="4" t="str">
        <f t="shared" ref="D12417:D12421" si="1878">HYPERLINK("https://12go.asia/en/travel/Phan-Thiet/Cam-Ranh-Airport", "12Go Link")</f>
        <v>12Go Link</v>
      </c>
      <c r="E12417" s="3" t="s">
        <v>222</v>
      </c>
      <c r="K12417" s="5"/>
    </row>
    <row r="12418">
      <c r="A12418" s="3" t="s">
        <v>9531</v>
      </c>
      <c r="B12418" s="3" t="s">
        <v>9393</v>
      </c>
      <c r="C12418" s="3" t="s">
        <v>10161</v>
      </c>
      <c r="D12418" s="4" t="str">
        <f t="shared" si="1878"/>
        <v>12Go Link</v>
      </c>
      <c r="E12418" s="3" t="s">
        <v>6599</v>
      </c>
      <c r="K12418" s="5"/>
    </row>
    <row r="12419">
      <c r="A12419" s="3" t="s">
        <v>9531</v>
      </c>
      <c r="B12419" s="3" t="s">
        <v>9393</v>
      </c>
      <c r="C12419" s="3" t="s">
        <v>10161</v>
      </c>
      <c r="D12419" s="4" t="str">
        <f t="shared" si="1878"/>
        <v>12Go Link</v>
      </c>
      <c r="E12419" s="3" t="s">
        <v>9395</v>
      </c>
      <c r="K12419" s="5"/>
    </row>
    <row r="12420">
      <c r="A12420" s="3" t="s">
        <v>9531</v>
      </c>
      <c r="B12420" s="3" t="s">
        <v>9393</v>
      </c>
      <c r="C12420" s="3" t="s">
        <v>10161</v>
      </c>
      <c r="D12420" s="4" t="str">
        <f t="shared" si="1878"/>
        <v>12Go Link</v>
      </c>
      <c r="E12420" s="3" t="s">
        <v>9396</v>
      </c>
      <c r="K12420" s="5"/>
    </row>
    <row r="12421">
      <c r="A12421" s="3" t="s">
        <v>9531</v>
      </c>
      <c r="B12421" s="3" t="s">
        <v>9393</v>
      </c>
      <c r="C12421" s="3" t="s">
        <v>10161</v>
      </c>
      <c r="D12421" s="4" t="str">
        <f t="shared" si="1878"/>
        <v>12Go Link</v>
      </c>
      <c r="E12421" s="3" t="s">
        <v>7470</v>
      </c>
      <c r="K12421" s="5"/>
    </row>
    <row r="12422">
      <c r="A12422" s="3" t="s">
        <v>9531</v>
      </c>
      <c r="B12422" s="3" t="s">
        <v>9372</v>
      </c>
      <c r="C12422" s="3" t="s">
        <v>10162</v>
      </c>
      <c r="D12422" s="4" t="str">
        <f t="shared" ref="D12422:D12426" si="1879">HYPERLINK("https://12go.asia/en/travel/Mui-Ne/Da-Lat", "12Go Link")</f>
        <v>12Go Link</v>
      </c>
      <c r="E12422" s="3" t="s">
        <v>222</v>
      </c>
      <c r="K12422" s="5"/>
    </row>
    <row r="12423">
      <c r="A12423" s="3" t="s">
        <v>9531</v>
      </c>
      <c r="B12423" s="3" t="s">
        <v>9372</v>
      </c>
      <c r="C12423" s="3" t="s">
        <v>10162</v>
      </c>
      <c r="D12423" s="4" t="str">
        <f t="shared" si="1879"/>
        <v>12Go Link</v>
      </c>
      <c r="E12423" s="3" t="s">
        <v>6599</v>
      </c>
      <c r="K12423" s="5"/>
    </row>
    <row r="12424">
      <c r="A12424" s="3" t="s">
        <v>9531</v>
      </c>
      <c r="B12424" s="3" t="s">
        <v>9372</v>
      </c>
      <c r="C12424" s="3" t="s">
        <v>10162</v>
      </c>
      <c r="D12424" s="4" t="str">
        <f t="shared" si="1879"/>
        <v>12Go Link</v>
      </c>
      <c r="E12424" s="3" t="s">
        <v>9395</v>
      </c>
      <c r="K12424" s="5"/>
    </row>
    <row r="12425">
      <c r="A12425" s="3" t="s">
        <v>9531</v>
      </c>
      <c r="B12425" s="3" t="s">
        <v>9372</v>
      </c>
      <c r="C12425" s="3" t="s">
        <v>10162</v>
      </c>
      <c r="D12425" s="4" t="str">
        <f t="shared" si="1879"/>
        <v>12Go Link</v>
      </c>
      <c r="E12425" s="3" t="s">
        <v>9396</v>
      </c>
      <c r="K12425" s="5"/>
    </row>
    <row r="12426">
      <c r="A12426" s="3" t="s">
        <v>9531</v>
      </c>
      <c r="B12426" s="3" t="s">
        <v>9372</v>
      </c>
      <c r="C12426" s="3" t="s">
        <v>10162</v>
      </c>
      <c r="D12426" s="4" t="str">
        <f t="shared" si="1879"/>
        <v>12Go Link</v>
      </c>
      <c r="E12426" s="3" t="s">
        <v>7470</v>
      </c>
      <c r="K12426" s="5"/>
    </row>
    <row r="12427">
      <c r="A12427" s="3" t="s">
        <v>9531</v>
      </c>
      <c r="B12427" s="3" t="s">
        <v>9372</v>
      </c>
      <c r="C12427" s="3" t="s">
        <v>10163</v>
      </c>
      <c r="D12427" s="4" t="str">
        <f t="shared" ref="D12427:D12431" si="1880">HYPERLINK("https://12go.asia/en/travel/Mui-Ne/Lien-Khuong-Airport-DLI", "12Go Link")</f>
        <v>12Go Link</v>
      </c>
      <c r="E12427" s="3" t="s">
        <v>222</v>
      </c>
      <c r="K12427" s="5"/>
    </row>
    <row r="12428">
      <c r="A12428" s="3" t="s">
        <v>9531</v>
      </c>
      <c r="B12428" s="3" t="s">
        <v>9372</v>
      </c>
      <c r="C12428" s="3" t="s">
        <v>10163</v>
      </c>
      <c r="D12428" s="4" t="str">
        <f t="shared" si="1880"/>
        <v>12Go Link</v>
      </c>
      <c r="E12428" s="3" t="s">
        <v>6599</v>
      </c>
      <c r="K12428" s="5"/>
    </row>
    <row r="12429">
      <c r="A12429" s="3" t="s">
        <v>9531</v>
      </c>
      <c r="B12429" s="3" t="s">
        <v>9372</v>
      </c>
      <c r="C12429" s="3" t="s">
        <v>10163</v>
      </c>
      <c r="D12429" s="4" t="str">
        <f t="shared" si="1880"/>
        <v>12Go Link</v>
      </c>
      <c r="E12429" s="3" t="s">
        <v>9395</v>
      </c>
      <c r="K12429" s="5"/>
    </row>
    <row r="12430">
      <c r="A12430" s="3" t="s">
        <v>9531</v>
      </c>
      <c r="B12430" s="3" t="s">
        <v>9372</v>
      </c>
      <c r="C12430" s="3" t="s">
        <v>10163</v>
      </c>
      <c r="D12430" s="4" t="str">
        <f t="shared" si="1880"/>
        <v>12Go Link</v>
      </c>
      <c r="E12430" s="3" t="s">
        <v>9396</v>
      </c>
      <c r="K12430" s="5"/>
    </row>
    <row r="12431">
      <c r="A12431" s="3" t="s">
        <v>9531</v>
      </c>
      <c r="B12431" s="3" t="s">
        <v>9372</v>
      </c>
      <c r="C12431" s="3" t="s">
        <v>10163</v>
      </c>
      <c r="D12431" s="4" t="str">
        <f t="shared" si="1880"/>
        <v>12Go Link</v>
      </c>
      <c r="E12431" s="3" t="s">
        <v>7470</v>
      </c>
      <c r="K12431" s="5"/>
    </row>
    <row r="12432">
      <c r="A12432" s="3" t="s">
        <v>9531</v>
      </c>
      <c r="B12432" s="3" t="s">
        <v>9372</v>
      </c>
      <c r="C12432" s="3" t="s">
        <v>10164</v>
      </c>
      <c r="D12432" s="4" t="str">
        <f t="shared" ref="D12432:D12436" si="1881">HYPERLINK("https://12go.asia/en/travel/Phan-Thiet/Da-Lat", "12Go Link")</f>
        <v>12Go Link</v>
      </c>
      <c r="E12432" s="3" t="s">
        <v>222</v>
      </c>
      <c r="K12432" s="5"/>
    </row>
    <row r="12433">
      <c r="A12433" s="3" t="s">
        <v>9531</v>
      </c>
      <c r="B12433" s="3" t="s">
        <v>9372</v>
      </c>
      <c r="C12433" s="3" t="s">
        <v>10164</v>
      </c>
      <c r="D12433" s="4" t="str">
        <f t="shared" si="1881"/>
        <v>12Go Link</v>
      </c>
      <c r="E12433" s="3" t="s">
        <v>6599</v>
      </c>
      <c r="K12433" s="5"/>
    </row>
    <row r="12434">
      <c r="A12434" s="3" t="s">
        <v>9531</v>
      </c>
      <c r="B12434" s="3" t="s">
        <v>9372</v>
      </c>
      <c r="C12434" s="3" t="s">
        <v>10164</v>
      </c>
      <c r="D12434" s="4" t="str">
        <f t="shared" si="1881"/>
        <v>12Go Link</v>
      </c>
      <c r="E12434" s="3" t="s">
        <v>9395</v>
      </c>
      <c r="K12434" s="5"/>
    </row>
    <row r="12435">
      <c r="A12435" s="3" t="s">
        <v>9531</v>
      </c>
      <c r="B12435" s="3" t="s">
        <v>9372</v>
      </c>
      <c r="C12435" s="3" t="s">
        <v>10164</v>
      </c>
      <c r="D12435" s="4" t="str">
        <f t="shared" si="1881"/>
        <v>12Go Link</v>
      </c>
      <c r="E12435" s="3" t="s">
        <v>9396</v>
      </c>
      <c r="K12435" s="5"/>
    </row>
    <row r="12436">
      <c r="A12436" s="3" t="s">
        <v>9531</v>
      </c>
      <c r="B12436" s="3" t="s">
        <v>9372</v>
      </c>
      <c r="C12436" s="3" t="s">
        <v>10164</v>
      </c>
      <c r="D12436" s="4" t="str">
        <f t="shared" si="1881"/>
        <v>12Go Link</v>
      </c>
      <c r="E12436" s="3" t="s">
        <v>7470</v>
      </c>
      <c r="K12436" s="5"/>
    </row>
    <row r="12437">
      <c r="A12437" s="3" t="s">
        <v>9531</v>
      </c>
      <c r="B12437" s="3" t="s">
        <v>9372</v>
      </c>
      <c r="C12437" s="3" t="s">
        <v>10165</v>
      </c>
      <c r="D12437" s="4" t="str">
        <f t="shared" ref="D12437:D12441" si="1882">HYPERLINK("https://12go.asia/en/travel/Phan-Thiet/Lien-Khuong-Airport-DLI", "12Go Link")</f>
        <v>12Go Link</v>
      </c>
      <c r="E12437" s="3" t="s">
        <v>222</v>
      </c>
      <c r="K12437" s="5"/>
    </row>
    <row r="12438">
      <c r="A12438" s="3" t="s">
        <v>9531</v>
      </c>
      <c r="B12438" s="3" t="s">
        <v>9372</v>
      </c>
      <c r="C12438" s="3" t="s">
        <v>10165</v>
      </c>
      <c r="D12438" s="4" t="str">
        <f t="shared" si="1882"/>
        <v>12Go Link</v>
      </c>
      <c r="E12438" s="3" t="s">
        <v>6599</v>
      </c>
      <c r="K12438" s="5"/>
    </row>
    <row r="12439">
      <c r="A12439" s="3" t="s">
        <v>9531</v>
      </c>
      <c r="B12439" s="3" t="s">
        <v>9372</v>
      </c>
      <c r="C12439" s="3" t="s">
        <v>10165</v>
      </c>
      <c r="D12439" s="4" t="str">
        <f t="shared" si="1882"/>
        <v>12Go Link</v>
      </c>
      <c r="E12439" s="3" t="s">
        <v>9395</v>
      </c>
      <c r="K12439" s="5"/>
    </row>
    <row r="12440">
      <c r="A12440" s="3" t="s">
        <v>9531</v>
      </c>
      <c r="B12440" s="3" t="s">
        <v>9372</v>
      </c>
      <c r="C12440" s="3" t="s">
        <v>10165</v>
      </c>
      <c r="D12440" s="4" t="str">
        <f t="shared" si="1882"/>
        <v>12Go Link</v>
      </c>
      <c r="E12440" s="3" t="s">
        <v>9396</v>
      </c>
      <c r="K12440" s="5"/>
    </row>
    <row r="12441">
      <c r="A12441" s="3" t="s">
        <v>9531</v>
      </c>
      <c r="B12441" s="3" t="s">
        <v>9372</v>
      </c>
      <c r="C12441" s="3" t="s">
        <v>10165</v>
      </c>
      <c r="D12441" s="4" t="str">
        <f t="shared" si="1882"/>
        <v>12Go Link</v>
      </c>
      <c r="E12441" s="3" t="s">
        <v>7470</v>
      </c>
      <c r="K12441" s="5"/>
    </row>
    <row r="12442">
      <c r="A12442" s="3" t="s">
        <v>9531</v>
      </c>
      <c r="B12442" s="3" t="s">
        <v>9419</v>
      </c>
      <c r="C12442" s="3" t="s">
        <v>10166</v>
      </c>
      <c r="D12442" s="4" t="str">
        <f>HYPERLINK("https://12go.asia/en/travel/Mui-Ne/Ho-Chi-Minh", "12Go Link")</f>
        <v>12Go Link</v>
      </c>
      <c r="E12442" s="3" t="s">
        <v>9428</v>
      </c>
      <c r="K12442" s="5"/>
    </row>
    <row r="12443">
      <c r="A12443" s="3" t="s">
        <v>9531</v>
      </c>
      <c r="B12443" s="3" t="s">
        <v>9397</v>
      </c>
      <c r="C12443" s="3" t="s">
        <v>10167</v>
      </c>
      <c r="D12443" s="4" t="str">
        <f t="shared" ref="D12443:D12447" si="1883">HYPERLINK("https://12go.asia/en/travel/Mui-Ne/Nha-Trang", "12Go Link")</f>
        <v>12Go Link</v>
      </c>
      <c r="E12443" s="3" t="s">
        <v>222</v>
      </c>
      <c r="K12443" s="5"/>
    </row>
    <row r="12444">
      <c r="A12444" s="3" t="s">
        <v>9531</v>
      </c>
      <c r="B12444" s="3" t="s">
        <v>9397</v>
      </c>
      <c r="C12444" s="3" t="s">
        <v>10167</v>
      </c>
      <c r="D12444" s="4" t="str">
        <f t="shared" si="1883"/>
        <v>12Go Link</v>
      </c>
      <c r="E12444" s="3" t="s">
        <v>6599</v>
      </c>
      <c r="K12444" s="5"/>
    </row>
    <row r="12445">
      <c r="A12445" s="3" t="s">
        <v>9531</v>
      </c>
      <c r="B12445" s="3" t="s">
        <v>9397</v>
      </c>
      <c r="C12445" s="3" t="s">
        <v>10167</v>
      </c>
      <c r="D12445" s="4" t="str">
        <f t="shared" si="1883"/>
        <v>12Go Link</v>
      </c>
      <c r="E12445" s="3" t="s">
        <v>9395</v>
      </c>
      <c r="K12445" s="5"/>
    </row>
    <row r="12446">
      <c r="A12446" s="3" t="s">
        <v>9531</v>
      </c>
      <c r="B12446" s="3" t="s">
        <v>9397</v>
      </c>
      <c r="C12446" s="3" t="s">
        <v>10167</v>
      </c>
      <c r="D12446" s="4" t="str">
        <f t="shared" si="1883"/>
        <v>12Go Link</v>
      </c>
      <c r="E12446" s="3" t="s">
        <v>9396</v>
      </c>
      <c r="K12446" s="5"/>
    </row>
    <row r="12447">
      <c r="A12447" s="3" t="s">
        <v>9531</v>
      </c>
      <c r="B12447" s="3" t="s">
        <v>9397</v>
      </c>
      <c r="C12447" s="3" t="s">
        <v>10167</v>
      </c>
      <c r="D12447" s="4" t="str">
        <f t="shared" si="1883"/>
        <v>12Go Link</v>
      </c>
      <c r="E12447" s="3" t="s">
        <v>7470</v>
      </c>
      <c r="K12447" s="5"/>
    </row>
    <row r="12448">
      <c r="A12448" s="3" t="s">
        <v>9531</v>
      </c>
      <c r="B12448" s="3" t="s">
        <v>9397</v>
      </c>
      <c r="C12448" s="3" t="s">
        <v>10168</v>
      </c>
      <c r="D12448" s="4" t="str">
        <f t="shared" ref="D12448:D12452" si="1884">HYPERLINK("https://12go.asia/en/travel/Phan-Thiet/Nha-Trang", "12Go Link")</f>
        <v>12Go Link</v>
      </c>
      <c r="E12448" s="3" t="s">
        <v>222</v>
      </c>
      <c r="K12448" s="5"/>
    </row>
    <row r="12449">
      <c r="A12449" s="3" t="s">
        <v>9531</v>
      </c>
      <c r="B12449" s="3" t="s">
        <v>9397</v>
      </c>
      <c r="C12449" s="3" t="s">
        <v>10168</v>
      </c>
      <c r="D12449" s="4" t="str">
        <f t="shared" si="1884"/>
        <v>12Go Link</v>
      </c>
      <c r="E12449" s="3" t="s">
        <v>6599</v>
      </c>
      <c r="K12449" s="5"/>
    </row>
    <row r="12450">
      <c r="A12450" s="3" t="s">
        <v>9531</v>
      </c>
      <c r="B12450" s="3" t="s">
        <v>9397</v>
      </c>
      <c r="C12450" s="3" t="s">
        <v>10168</v>
      </c>
      <c r="D12450" s="4" t="str">
        <f t="shared" si="1884"/>
        <v>12Go Link</v>
      </c>
      <c r="E12450" s="3" t="s">
        <v>9395</v>
      </c>
      <c r="K12450" s="5"/>
    </row>
    <row r="12451">
      <c r="A12451" s="3" t="s">
        <v>9531</v>
      </c>
      <c r="B12451" s="3" t="s">
        <v>9397</v>
      </c>
      <c r="C12451" s="3" t="s">
        <v>10168</v>
      </c>
      <c r="D12451" s="4" t="str">
        <f t="shared" si="1884"/>
        <v>12Go Link</v>
      </c>
      <c r="E12451" s="3" t="s">
        <v>9396</v>
      </c>
      <c r="K12451" s="5"/>
    </row>
    <row r="12452">
      <c r="A12452" s="3" t="s">
        <v>9531</v>
      </c>
      <c r="B12452" s="3" t="s">
        <v>9397</v>
      </c>
      <c r="C12452" s="3" t="s">
        <v>10168</v>
      </c>
      <c r="D12452" s="4" t="str">
        <f t="shared" si="1884"/>
        <v>12Go Link</v>
      </c>
      <c r="E12452" s="3" t="s">
        <v>7470</v>
      </c>
      <c r="K12452" s="5"/>
    </row>
    <row r="12453">
      <c r="A12453" s="3" t="s">
        <v>9531</v>
      </c>
      <c r="B12453" s="3" t="s">
        <v>9399</v>
      </c>
      <c r="C12453" s="3" t="s">
        <v>10169</v>
      </c>
      <c r="D12453" s="4" t="str">
        <f t="shared" ref="D12453:D12457" si="1885">HYPERLINK("https://12go.asia/en/travel/Mui-Ne/Phan-Rang", "12Go Link")</f>
        <v>12Go Link</v>
      </c>
      <c r="E12453" s="3" t="s">
        <v>222</v>
      </c>
      <c r="K12453" s="5"/>
    </row>
    <row r="12454">
      <c r="A12454" s="3" t="s">
        <v>9531</v>
      </c>
      <c r="B12454" s="3" t="s">
        <v>9399</v>
      </c>
      <c r="C12454" s="3" t="s">
        <v>10169</v>
      </c>
      <c r="D12454" s="4" t="str">
        <f t="shared" si="1885"/>
        <v>12Go Link</v>
      </c>
      <c r="E12454" s="3" t="s">
        <v>6599</v>
      </c>
      <c r="K12454" s="5"/>
    </row>
    <row r="12455">
      <c r="A12455" s="3" t="s">
        <v>9531</v>
      </c>
      <c r="B12455" s="3" t="s">
        <v>9399</v>
      </c>
      <c r="C12455" s="3" t="s">
        <v>10169</v>
      </c>
      <c r="D12455" s="4" t="str">
        <f t="shared" si="1885"/>
        <v>12Go Link</v>
      </c>
      <c r="E12455" s="3" t="s">
        <v>9395</v>
      </c>
      <c r="K12455" s="5"/>
    </row>
    <row r="12456">
      <c r="A12456" s="3" t="s">
        <v>9531</v>
      </c>
      <c r="B12456" s="3" t="s">
        <v>9399</v>
      </c>
      <c r="C12456" s="3" t="s">
        <v>10169</v>
      </c>
      <c r="D12456" s="4" t="str">
        <f t="shared" si="1885"/>
        <v>12Go Link</v>
      </c>
      <c r="E12456" s="3" t="s">
        <v>9396</v>
      </c>
      <c r="K12456" s="5"/>
    </row>
    <row r="12457">
      <c r="A12457" s="3" t="s">
        <v>9531</v>
      </c>
      <c r="B12457" s="3" t="s">
        <v>9399</v>
      </c>
      <c r="C12457" s="3" t="s">
        <v>10169</v>
      </c>
      <c r="D12457" s="4" t="str">
        <f t="shared" si="1885"/>
        <v>12Go Link</v>
      </c>
      <c r="E12457" s="3" t="s">
        <v>7470</v>
      </c>
      <c r="K12457" s="5"/>
    </row>
    <row r="12458">
      <c r="A12458" s="3" t="s">
        <v>9531</v>
      </c>
      <c r="B12458" s="3" t="s">
        <v>9399</v>
      </c>
      <c r="C12458" s="3" t="s">
        <v>10170</v>
      </c>
      <c r="D12458" s="4" t="str">
        <f t="shared" ref="D12458:D12462" si="1886">HYPERLINK("https://12go.asia/en/travel/Phan-Thiet/Phan-Rang", "12Go Link")</f>
        <v>12Go Link</v>
      </c>
      <c r="E12458" s="3" t="s">
        <v>222</v>
      </c>
      <c r="K12458" s="5"/>
    </row>
    <row r="12459">
      <c r="A12459" s="3" t="s">
        <v>9531</v>
      </c>
      <c r="B12459" s="3" t="s">
        <v>9399</v>
      </c>
      <c r="C12459" s="3" t="s">
        <v>10170</v>
      </c>
      <c r="D12459" s="4" t="str">
        <f t="shared" si="1886"/>
        <v>12Go Link</v>
      </c>
      <c r="E12459" s="3" t="s">
        <v>6599</v>
      </c>
      <c r="K12459" s="5"/>
    </row>
    <row r="12460">
      <c r="A12460" s="3" t="s">
        <v>9531</v>
      </c>
      <c r="B12460" s="3" t="s">
        <v>9399</v>
      </c>
      <c r="C12460" s="3" t="s">
        <v>10170</v>
      </c>
      <c r="D12460" s="4" t="str">
        <f t="shared" si="1886"/>
        <v>12Go Link</v>
      </c>
      <c r="E12460" s="3" t="s">
        <v>9395</v>
      </c>
      <c r="K12460" s="5"/>
    </row>
    <row r="12461">
      <c r="A12461" s="3" t="s">
        <v>9531</v>
      </c>
      <c r="B12461" s="3" t="s">
        <v>9399</v>
      </c>
      <c r="C12461" s="3" t="s">
        <v>10170</v>
      </c>
      <c r="D12461" s="4" t="str">
        <f t="shared" si="1886"/>
        <v>12Go Link</v>
      </c>
      <c r="E12461" s="3" t="s">
        <v>9396</v>
      </c>
      <c r="K12461" s="5"/>
    </row>
    <row r="12462">
      <c r="A12462" s="3" t="s">
        <v>9531</v>
      </c>
      <c r="B12462" s="3" t="s">
        <v>9399</v>
      </c>
      <c r="C12462" s="3" t="s">
        <v>10170</v>
      </c>
      <c r="D12462" s="4" t="str">
        <f t="shared" si="1886"/>
        <v>12Go Link</v>
      </c>
      <c r="E12462" s="3" t="s">
        <v>7470</v>
      </c>
      <c r="K12462" s="5"/>
    </row>
    <row r="12463">
      <c r="A12463" s="3" t="s">
        <v>9531</v>
      </c>
      <c r="B12463" s="3" t="s">
        <v>9390</v>
      </c>
      <c r="C12463" s="3" t="s">
        <v>10171</v>
      </c>
      <c r="D12463" s="4" t="str">
        <f>HYPERLINK("https://12go.asia/en/travel/mui-ne/quang-tri", "12Go Link")</f>
        <v>12Go Link</v>
      </c>
      <c r="E12463" s="3" t="s">
        <v>94</v>
      </c>
      <c r="K12463" s="5"/>
    </row>
    <row r="12464">
      <c r="A12464" s="3" t="s">
        <v>9531</v>
      </c>
      <c r="B12464" s="3" t="s">
        <v>9970</v>
      </c>
      <c r="C12464" s="3" t="s">
        <v>10172</v>
      </c>
      <c r="D12464" s="4" t="str">
        <f t="shared" ref="D12464:D12468" si="1887">HYPERLINK("https://12go.asia/en/travel/Mui-Ne/Vung-Tau", "12Go Link")</f>
        <v>12Go Link</v>
      </c>
      <c r="E12464" s="3" t="s">
        <v>222</v>
      </c>
      <c r="K12464" s="5"/>
    </row>
    <row r="12465">
      <c r="A12465" s="3" t="s">
        <v>9531</v>
      </c>
      <c r="B12465" s="3" t="s">
        <v>9970</v>
      </c>
      <c r="C12465" s="3" t="s">
        <v>10172</v>
      </c>
      <c r="D12465" s="4" t="str">
        <f t="shared" si="1887"/>
        <v>12Go Link</v>
      </c>
      <c r="E12465" s="3" t="s">
        <v>6599</v>
      </c>
      <c r="K12465" s="5"/>
    </row>
    <row r="12466">
      <c r="A12466" s="3" t="s">
        <v>9531</v>
      </c>
      <c r="B12466" s="3" t="s">
        <v>9970</v>
      </c>
      <c r="C12466" s="3" t="s">
        <v>10172</v>
      </c>
      <c r="D12466" s="4" t="str">
        <f t="shared" si="1887"/>
        <v>12Go Link</v>
      </c>
      <c r="E12466" s="3" t="s">
        <v>9395</v>
      </c>
      <c r="K12466" s="5"/>
    </row>
    <row r="12467">
      <c r="A12467" s="3" t="s">
        <v>9531</v>
      </c>
      <c r="B12467" s="3" t="s">
        <v>9970</v>
      </c>
      <c r="C12467" s="3" t="s">
        <v>10172</v>
      </c>
      <c r="D12467" s="4" t="str">
        <f t="shared" si="1887"/>
        <v>12Go Link</v>
      </c>
      <c r="E12467" s="3" t="s">
        <v>9396</v>
      </c>
      <c r="K12467" s="5"/>
    </row>
    <row r="12468">
      <c r="A12468" s="3" t="s">
        <v>9531</v>
      </c>
      <c r="B12468" s="3" t="s">
        <v>9970</v>
      </c>
      <c r="C12468" s="3" t="s">
        <v>10172</v>
      </c>
      <c r="D12468" s="4" t="str">
        <f t="shared" si="1887"/>
        <v>12Go Link</v>
      </c>
      <c r="E12468" s="3" t="s">
        <v>7470</v>
      </c>
      <c r="K12468" s="5"/>
    </row>
    <row r="12469">
      <c r="A12469" s="3" t="s">
        <v>9531</v>
      </c>
      <c r="B12469" s="3" t="s">
        <v>9970</v>
      </c>
      <c r="C12469" s="3" t="s">
        <v>10173</v>
      </c>
      <c r="D12469" s="4" t="str">
        <f t="shared" ref="D12469:D12473" si="1888">HYPERLINK("https://12go.asia/en/travel/Phan-Thiet/Vung-Tau", "12Go Link")</f>
        <v>12Go Link</v>
      </c>
      <c r="E12469" s="3" t="s">
        <v>222</v>
      </c>
      <c r="K12469" s="5"/>
    </row>
    <row r="12470">
      <c r="A12470" s="3" t="s">
        <v>9531</v>
      </c>
      <c r="B12470" s="3" t="s">
        <v>9970</v>
      </c>
      <c r="C12470" s="3" t="s">
        <v>10173</v>
      </c>
      <c r="D12470" s="4" t="str">
        <f t="shared" si="1888"/>
        <v>12Go Link</v>
      </c>
      <c r="E12470" s="3" t="s">
        <v>6599</v>
      </c>
      <c r="K12470" s="5"/>
    </row>
    <row r="12471">
      <c r="A12471" s="3" t="s">
        <v>9531</v>
      </c>
      <c r="B12471" s="3" t="s">
        <v>9970</v>
      </c>
      <c r="C12471" s="3" t="s">
        <v>10173</v>
      </c>
      <c r="D12471" s="4" t="str">
        <f t="shared" si="1888"/>
        <v>12Go Link</v>
      </c>
      <c r="E12471" s="3" t="s">
        <v>9395</v>
      </c>
      <c r="K12471" s="5"/>
    </row>
    <row r="12472">
      <c r="A12472" s="3" t="s">
        <v>9531</v>
      </c>
      <c r="B12472" s="3" t="s">
        <v>9970</v>
      </c>
      <c r="C12472" s="3" t="s">
        <v>10173</v>
      </c>
      <c r="D12472" s="4" t="str">
        <f t="shared" si="1888"/>
        <v>12Go Link</v>
      </c>
      <c r="E12472" s="3" t="s">
        <v>9396</v>
      </c>
      <c r="K12472" s="5"/>
    </row>
    <row r="12473">
      <c r="A12473" s="3" t="s">
        <v>9531</v>
      </c>
      <c r="B12473" s="3" t="s">
        <v>9970</v>
      </c>
      <c r="C12473" s="3" t="s">
        <v>10173</v>
      </c>
      <c r="D12473" s="4" t="str">
        <f t="shared" si="1888"/>
        <v>12Go Link</v>
      </c>
      <c r="E12473" s="3" t="s">
        <v>7470</v>
      </c>
      <c r="K12473" s="5"/>
    </row>
    <row r="12474">
      <c r="A12474" s="3" t="s">
        <v>10174</v>
      </c>
      <c r="B12474" s="3" t="s">
        <v>10175</v>
      </c>
      <c r="C12474" s="3" t="s">
        <v>10176</v>
      </c>
      <c r="D12474" s="4" t="str">
        <f>HYPERLINK("https://12go.asia/en/travel/vinh/bien-hoa", "12Go Link")</f>
        <v>12Go Link</v>
      </c>
      <c r="E12474" s="3" t="s">
        <v>94</v>
      </c>
      <c r="K12474" s="5"/>
    </row>
    <row r="12475">
      <c r="A12475" s="3" t="s">
        <v>10174</v>
      </c>
      <c r="B12475" s="3" t="s">
        <v>9371</v>
      </c>
      <c r="C12475" s="3" t="s">
        <v>10177</v>
      </c>
      <c r="D12475" s="4" t="str">
        <f>HYPERLINK("https://12go.asia/en/travel/nghe-an/binh-duong", "12Go Link")</f>
        <v>12Go Link</v>
      </c>
      <c r="E12475" s="3" t="s">
        <v>94</v>
      </c>
      <c r="K12475" s="5"/>
    </row>
    <row r="12476">
      <c r="A12476" s="3" t="s">
        <v>9397</v>
      </c>
      <c r="B12476" s="3" t="s">
        <v>9447</v>
      </c>
      <c r="C12476" s="3" t="s">
        <v>10178</v>
      </c>
      <c r="D12476" s="4" t="str">
        <f>HYPERLINK("https://12go.asia/en/travel/28-Nguyen-Binh-Khiem/28-February-3rd-Street", "12Go Link")</f>
        <v>12Go Link</v>
      </c>
      <c r="E12476" s="3" t="s">
        <v>9470</v>
      </c>
      <c r="K12476" s="5"/>
    </row>
    <row r="12477">
      <c r="A12477" s="3" t="s">
        <v>9397</v>
      </c>
      <c r="B12477" s="3" t="s">
        <v>9447</v>
      </c>
      <c r="C12477" s="3" t="s">
        <v>10179</v>
      </c>
      <c r="D12477" s="4" t="str">
        <f t="shared" ref="D12477:D12478" si="1889">HYPERLINK("https://12go.asia/en/travel/28-Nguyen-Binh-Khiem/Danang-SSB", "12Go Link")</f>
        <v>12Go Link</v>
      </c>
      <c r="E12477" s="3" t="s">
        <v>9616</v>
      </c>
      <c r="K12477" s="5"/>
    </row>
    <row r="12478">
      <c r="A12478" s="3" t="s">
        <v>9397</v>
      </c>
      <c r="B12478" s="3" t="s">
        <v>9447</v>
      </c>
      <c r="C12478" s="3" t="s">
        <v>10179</v>
      </c>
      <c r="D12478" s="4" t="str">
        <f t="shared" si="1889"/>
        <v>12Go Link</v>
      </c>
      <c r="E12478" s="3" t="s">
        <v>9450</v>
      </c>
      <c r="K12478" s="5"/>
    </row>
    <row r="12479">
      <c r="A12479" s="3" t="s">
        <v>9397</v>
      </c>
      <c r="B12479" s="3" t="s">
        <v>9447</v>
      </c>
      <c r="C12479" s="3" t="s">
        <v>10180</v>
      </c>
      <c r="D12479" s="4" t="str">
        <f>HYPERLINK("https://12go.asia/en/travel/34-Thich-Quang-Duc/28-February-3rd-Street", "12Go Link")</f>
        <v>12Go Link</v>
      </c>
      <c r="E12479" s="3" t="s">
        <v>9470</v>
      </c>
      <c r="K12479" s="5"/>
    </row>
    <row r="12480">
      <c r="A12480" s="3" t="s">
        <v>9397</v>
      </c>
      <c r="B12480" s="3" t="s">
        <v>9447</v>
      </c>
      <c r="C12480" s="3" t="s">
        <v>10181</v>
      </c>
      <c r="D12480" s="4" t="str">
        <f>HYPERLINK("https://12go.asia/en/travel/34-Thich-Quang-Duc/Da-Nang-Hanh-Cafe-Office", "12Go Link")</f>
        <v>12Go Link</v>
      </c>
      <c r="E12480" s="3" t="s">
        <v>9450</v>
      </c>
      <c r="K12480" s="5"/>
    </row>
    <row r="12481">
      <c r="A12481" s="3" t="s">
        <v>9397</v>
      </c>
      <c r="B12481" s="3" t="s">
        <v>9447</v>
      </c>
      <c r="C12481" s="3" t="s">
        <v>10182</v>
      </c>
      <c r="D12481" s="4" t="str">
        <f>HYPERLINK("https://12go.asia/en/travel/Nha-Trang-Nothern-Bus-Station/Da-Nang-Central-Bus-Station", "12Go Link")</f>
        <v>12Go Link</v>
      </c>
      <c r="E12481" s="3" t="s">
        <v>9535</v>
      </c>
      <c r="K12481" s="5"/>
    </row>
    <row r="12482">
      <c r="A12482" s="3" t="s">
        <v>9397</v>
      </c>
      <c r="B12482" s="3" t="s">
        <v>9447</v>
      </c>
      <c r="C12482" s="3" t="s">
        <v>10183</v>
      </c>
      <c r="D12482" s="4" t="str">
        <f>HYPERLINK("https://12go.asia/en/travel/Nha-Trang-Southern-Bus-Station/Da-Nang-Central-Bus-Station", "12Go Link")</f>
        <v>12Go Link</v>
      </c>
      <c r="E12482" s="3" t="s">
        <v>9535</v>
      </c>
      <c r="K12482" s="5"/>
    </row>
    <row r="12483">
      <c r="A12483" s="3" t="s">
        <v>9397</v>
      </c>
      <c r="B12483" s="3" t="s">
        <v>9601</v>
      </c>
      <c r="C12483" s="3" t="s">
        <v>10184</v>
      </c>
      <c r="D12483" s="4" t="str">
        <f>HYPERLINK("https://12go.asia/en/travel/77-Thai-Nguyen-Nha-Trang/1040-Hung-Vuong", "12Go Link")</f>
        <v>12Go Link</v>
      </c>
      <c r="E12483" s="3" t="s">
        <v>9449</v>
      </c>
      <c r="K12483" s="5"/>
    </row>
    <row r="12484">
      <c r="A12484" s="3" t="s">
        <v>9397</v>
      </c>
      <c r="B12484" s="3" t="s">
        <v>9601</v>
      </c>
      <c r="C12484" s="3" t="s">
        <v>10185</v>
      </c>
      <c r="D12484" s="4" t="str">
        <f>HYPERLINK("https://12go.asia/en/travel/77-Thai-Nguyen-Nha-Trang/Duc-Long-Gia-Lai-Bus-Station", "12Go Link")</f>
        <v>12Go Link</v>
      </c>
      <c r="E12484" s="3" t="s">
        <v>9449</v>
      </c>
      <c r="K12484" s="5"/>
    </row>
    <row r="12485">
      <c r="A12485" s="3" t="s">
        <v>9397</v>
      </c>
      <c r="B12485" s="3" t="s">
        <v>9601</v>
      </c>
      <c r="C12485" s="3" t="s">
        <v>10186</v>
      </c>
      <c r="D12485" s="4" t="str">
        <f>HYPERLINK("https://12go.asia/en/travel/77-Thai-Nguyen-Nha-Trang/Ham-Rong", "12Go Link")</f>
        <v>12Go Link</v>
      </c>
      <c r="E12485" s="3" t="s">
        <v>9449</v>
      </c>
      <c r="K12485" s="5"/>
    </row>
    <row r="12486">
      <c r="A12486" s="3" t="s">
        <v>9397</v>
      </c>
      <c r="B12486" s="3" t="s">
        <v>9601</v>
      </c>
      <c r="C12486" s="3" t="s">
        <v>10187</v>
      </c>
      <c r="D12486" s="4" t="str">
        <f>HYPERLINK("https://12go.asia/en/travel/77-Thai-Nguyen-Nha-Trang/My-Thach", "12Go Link")</f>
        <v>12Go Link</v>
      </c>
      <c r="E12486" s="3" t="s">
        <v>9449</v>
      </c>
      <c r="K12486" s="5"/>
    </row>
    <row r="12487">
      <c r="A12487" s="3" t="s">
        <v>9397</v>
      </c>
      <c r="B12487" s="3" t="s">
        <v>9419</v>
      </c>
      <c r="C12487" s="3" t="s">
        <v>10188</v>
      </c>
      <c r="D12487" s="4" t="str">
        <f>HYPERLINK("https://12go.asia/en/travel/106-Phong-Chau/273-Pham-Ngu-Lao", "12Go Link")</f>
        <v>12Go Link</v>
      </c>
      <c r="E12487" s="3" t="s">
        <v>9374</v>
      </c>
      <c r="K12487" s="5"/>
    </row>
    <row r="12488">
      <c r="A12488" s="3" t="s">
        <v>9397</v>
      </c>
      <c r="B12488" s="3" t="s">
        <v>9419</v>
      </c>
      <c r="C12488" s="3" t="s">
        <v>10189</v>
      </c>
      <c r="D12488" s="4" t="str">
        <f>HYPERLINK("https://12go.asia/en/travel/32-Hung-Vuong/273-Pham-Ngu-Lao", "12Go Link")</f>
        <v>12Go Link</v>
      </c>
      <c r="E12488" s="3" t="s">
        <v>9538</v>
      </c>
      <c r="K12488" s="5"/>
    </row>
    <row r="12489">
      <c r="A12489" s="3" t="s">
        <v>9397</v>
      </c>
      <c r="B12489" s="3" t="s">
        <v>9419</v>
      </c>
      <c r="C12489" s="3" t="s">
        <v>10190</v>
      </c>
      <c r="D12489" s="4" t="str">
        <f>HYPERLINK("https://12go.asia/en/travel/53-Le-Thanh-Phuong/273-Pham-Ngu-Lao", "12Go Link")</f>
        <v>12Go Link</v>
      </c>
      <c r="E12489" s="3" t="s">
        <v>9374</v>
      </c>
      <c r="K12489" s="5"/>
    </row>
    <row r="12490">
      <c r="A12490" s="3" t="s">
        <v>9397</v>
      </c>
      <c r="B12490" s="3" t="s">
        <v>9419</v>
      </c>
      <c r="C12490" s="3" t="s">
        <v>10191</v>
      </c>
      <c r="D12490" s="4" t="str">
        <f>HYPERLINK("https://12go.asia/en/travel/Nha-Trang-Southern-Bus-Station/Mien-Tay-Bus-Station", "12Go Link")</f>
        <v>12Go Link</v>
      </c>
      <c r="E12490" s="3" t="s">
        <v>9449</v>
      </c>
      <c r="K12490" s="5"/>
    </row>
    <row r="12491">
      <c r="A12491" s="3" t="s">
        <v>9397</v>
      </c>
      <c r="B12491" s="3" t="s">
        <v>9487</v>
      </c>
      <c r="C12491" s="3" t="s">
        <v>10192</v>
      </c>
      <c r="D12491" s="4" t="str">
        <f t="shared" ref="D12491:D12493" si="1890">HYPERLINK("https://12go.asia/en/travel/28-Nguyen-Binh-Khiem/23-Nguyen-Tat-Thanh", "12Go Link")</f>
        <v>12Go Link</v>
      </c>
      <c r="E12491" s="3" t="s">
        <v>9616</v>
      </c>
      <c r="K12491" s="5"/>
    </row>
    <row r="12492">
      <c r="A12492" s="3" t="s">
        <v>9397</v>
      </c>
      <c r="B12492" s="3" t="s">
        <v>9487</v>
      </c>
      <c r="C12492" s="3" t="s">
        <v>10192</v>
      </c>
      <c r="D12492" s="4" t="str">
        <f t="shared" si="1890"/>
        <v>12Go Link</v>
      </c>
      <c r="E12492" s="3" t="s">
        <v>9450</v>
      </c>
      <c r="K12492" s="5"/>
    </row>
    <row r="12493">
      <c r="A12493" s="3" t="s">
        <v>9397</v>
      </c>
      <c r="B12493" s="3" t="s">
        <v>9487</v>
      </c>
      <c r="C12493" s="3" t="s">
        <v>10192</v>
      </c>
      <c r="D12493" s="4" t="str">
        <f t="shared" si="1890"/>
        <v>12Go Link</v>
      </c>
      <c r="E12493" s="3" t="s">
        <v>9470</v>
      </c>
      <c r="K12493" s="5"/>
    </row>
    <row r="12494">
      <c r="A12494" s="3" t="s">
        <v>9397</v>
      </c>
      <c r="B12494" s="3" t="s">
        <v>9487</v>
      </c>
      <c r="C12494" s="3" t="s">
        <v>10193</v>
      </c>
      <c r="D12494" s="4" t="str">
        <f>HYPERLINK("https://12go.asia/en/travel/34-Thich-Quang-Duc/23-Nguyen-Tat-Thanh", "12Go Link")</f>
        <v>12Go Link</v>
      </c>
      <c r="E12494" s="3" t="s">
        <v>9470</v>
      </c>
      <c r="K12494" s="5"/>
    </row>
    <row r="12495">
      <c r="A12495" s="3" t="s">
        <v>9397</v>
      </c>
      <c r="B12495" s="3" t="s">
        <v>9487</v>
      </c>
      <c r="C12495" s="3" t="s">
        <v>10194</v>
      </c>
      <c r="D12495" s="4" t="str">
        <f>HYPERLINK("https://12go.asia/en/travel/34-Thich-Quang-Duc/Hoi-An-Hanh-Cafe", "12Go Link")</f>
        <v>12Go Link</v>
      </c>
      <c r="E12495" s="3" t="s">
        <v>9450</v>
      </c>
      <c r="K12495" s="5"/>
    </row>
    <row r="12496">
      <c r="A12496" s="3" t="s">
        <v>9397</v>
      </c>
      <c r="B12496" s="3" t="s">
        <v>9502</v>
      </c>
      <c r="C12496" s="3" t="s">
        <v>10195</v>
      </c>
      <c r="D12496" s="4" t="str">
        <f>HYPERLINK("https://12go.asia/en/travel/28-Nguyen-Binh-Khiem/44-Chu-van-An-Street", "12Go Link")</f>
        <v>12Go Link</v>
      </c>
      <c r="E12496" s="3" t="s">
        <v>9470</v>
      </c>
      <c r="K12496" s="5"/>
    </row>
    <row r="12497">
      <c r="A12497" s="3" t="s">
        <v>9397</v>
      </c>
      <c r="B12497" s="3" t="s">
        <v>9502</v>
      </c>
      <c r="C12497" s="3" t="s">
        <v>10196</v>
      </c>
      <c r="D12497" s="4" t="str">
        <f>HYPERLINK("https://12go.asia/en/travel/34-Thich-Quang-Duc/44-Chu-van-An-Street", "12Go Link")</f>
        <v>12Go Link</v>
      </c>
      <c r="E12497" s="3" t="s">
        <v>9470</v>
      </c>
      <c r="K12497" s="5"/>
    </row>
    <row r="12498">
      <c r="A12498" s="3" t="s">
        <v>9397</v>
      </c>
      <c r="B12498" s="3" t="s">
        <v>10128</v>
      </c>
      <c r="C12498" s="3" t="s">
        <v>10197</v>
      </c>
      <c r="D12498" s="4" t="str">
        <f>HYPERLINK("https://12go.asia/en/travel/77-Thai-Nguyen-Nha-Trang/Bo-Y-International-Border-Gate", "12Go Link")</f>
        <v>12Go Link</v>
      </c>
      <c r="E12498" s="3" t="s">
        <v>9449</v>
      </c>
      <c r="K12498" s="5"/>
    </row>
    <row r="12499">
      <c r="A12499" s="3" t="s">
        <v>9397</v>
      </c>
      <c r="B12499" s="3" t="s">
        <v>10128</v>
      </c>
      <c r="C12499" s="3" t="s">
        <v>10198</v>
      </c>
      <c r="D12499" s="4" t="str">
        <f>HYPERLINK("https://12go.asia/en/travel/77-Thai-Nguyen-Nha-Trang/Kon-Tum", "12Go Link")</f>
        <v>12Go Link</v>
      </c>
      <c r="E12499" s="3" t="s">
        <v>9449</v>
      </c>
      <c r="K12499" s="5"/>
    </row>
    <row r="12500">
      <c r="A12500" s="3" t="s">
        <v>9397</v>
      </c>
      <c r="B12500" s="3" t="s">
        <v>10128</v>
      </c>
      <c r="C12500" s="3" t="s">
        <v>10199</v>
      </c>
      <c r="D12500" s="4" t="str">
        <f>HYPERLINK("https://12go.asia/en/travel/77-Thai-Nguyen-Nha-Trang/Ngoc-Hoi-Bus-Station", "12Go Link")</f>
        <v>12Go Link</v>
      </c>
      <c r="E12500" s="3" t="s">
        <v>9449</v>
      </c>
      <c r="K12500" s="5"/>
    </row>
    <row r="12501">
      <c r="A12501" s="3" t="s">
        <v>9397</v>
      </c>
      <c r="B12501" s="3" t="s">
        <v>9539</v>
      </c>
      <c r="C12501" s="3" t="s">
        <v>10200</v>
      </c>
      <c r="D12501" s="4" t="str">
        <f>HYPERLINK("https://12go.asia/en/travel/28-Nguyen-Binh-Khiem/Ninh-Binh-SSB", "12Go Link")</f>
        <v>12Go Link</v>
      </c>
      <c r="E12501" s="3" t="s">
        <v>9648</v>
      </c>
      <c r="K12501" s="5"/>
    </row>
    <row r="12502">
      <c r="A12502" s="3" t="s">
        <v>9397</v>
      </c>
      <c r="B12502" s="3" t="s">
        <v>9582</v>
      </c>
      <c r="C12502" s="3" t="s">
        <v>10201</v>
      </c>
      <c r="D12502" s="4" t="str">
        <f>HYPERLINK("https://12go.asia/en/travel/32-Hung-Vuong/234-Tay-Son", "12Go Link")</f>
        <v>12Go Link</v>
      </c>
      <c r="E12502" s="3" t="s">
        <v>10202</v>
      </c>
      <c r="K12502" s="5"/>
    </row>
    <row r="12503">
      <c r="A12503" s="3" t="s">
        <v>9539</v>
      </c>
      <c r="B12503" s="3" t="s">
        <v>9447</v>
      </c>
      <c r="C12503" s="3" t="s">
        <v>10203</v>
      </c>
      <c r="D12503" s="4" t="str">
        <f t="shared" ref="D12503:D12504" si="1891">HYPERLINK("https://12go.asia/en/travel/Mikes-Travel-Agency/255-Le-Thach", "12Go Link")</f>
        <v>12Go Link</v>
      </c>
      <c r="E12503" s="3" t="s">
        <v>9633</v>
      </c>
      <c r="K12503" s="5"/>
    </row>
    <row r="12504">
      <c r="A12504" s="3" t="s">
        <v>9539</v>
      </c>
      <c r="B12504" s="3" t="s">
        <v>9447</v>
      </c>
      <c r="C12504" s="3" t="s">
        <v>10203</v>
      </c>
      <c r="D12504" s="4" t="str">
        <f t="shared" si="1891"/>
        <v>12Go Link</v>
      </c>
      <c r="E12504" s="3" t="s">
        <v>10204</v>
      </c>
      <c r="K12504" s="5"/>
    </row>
    <row r="12505">
      <c r="A12505" s="3" t="s">
        <v>9539</v>
      </c>
      <c r="B12505" s="3" t="s">
        <v>9447</v>
      </c>
      <c r="C12505" s="3" t="s">
        <v>10205</v>
      </c>
      <c r="D12505" s="4" t="str">
        <f>HYPERLINK("https://12go.asia/en/travel/Mikes-Travel-Agency/28-February-3rd-Street", "12Go Link")</f>
        <v>12Go Link</v>
      </c>
      <c r="E12505" s="3" t="s">
        <v>9374</v>
      </c>
      <c r="K12505" s="5"/>
    </row>
    <row r="12506">
      <c r="A12506" s="3" t="s">
        <v>9539</v>
      </c>
      <c r="B12506" s="3" t="s">
        <v>9447</v>
      </c>
      <c r="C12506" s="3" t="s">
        <v>10206</v>
      </c>
      <c r="D12506" s="4" t="str">
        <f>HYPERLINK("https://12go.asia/en/travel/Mikes-Travel-Agency/41-February-3rd-Street", "12Go Link")</f>
        <v>12Go Link</v>
      </c>
      <c r="E12506" s="3" t="s">
        <v>9374</v>
      </c>
      <c r="K12506" s="5"/>
    </row>
    <row r="12507">
      <c r="A12507" s="3" t="s">
        <v>9539</v>
      </c>
      <c r="B12507" s="3" t="s">
        <v>9447</v>
      </c>
      <c r="C12507" s="3" t="s">
        <v>10207</v>
      </c>
      <c r="D12507" s="4" t="str">
        <f t="shared" ref="D12507:D12508" si="1892">HYPERLINK("https://12go.asia/en/travel/Mikes-Travel-Agency/445-Hai-Phong", "12Go Link")</f>
        <v>12Go Link</v>
      </c>
      <c r="E12507" s="3" t="s">
        <v>9633</v>
      </c>
      <c r="K12507" s="5"/>
    </row>
    <row r="12508">
      <c r="A12508" s="3" t="s">
        <v>9539</v>
      </c>
      <c r="B12508" s="3" t="s">
        <v>9447</v>
      </c>
      <c r="C12508" s="3" t="s">
        <v>10207</v>
      </c>
      <c r="D12508" s="4" t="str">
        <f t="shared" si="1892"/>
        <v>12Go Link</v>
      </c>
      <c r="E12508" s="3" t="s">
        <v>10204</v>
      </c>
      <c r="K12508" s="5"/>
    </row>
    <row r="12509">
      <c r="A12509" s="3" t="s">
        <v>9539</v>
      </c>
      <c r="B12509" s="3" t="s">
        <v>9447</v>
      </c>
      <c r="C12509" s="3" t="s">
        <v>10208</v>
      </c>
      <c r="D12509" s="4" t="str">
        <f t="shared" ref="D12509:D12510" si="1893">HYPERLINK("https://12go.asia/en/travel/Mikes-Travel-Agency/Da-Nang-Bus-Central-Station", "12Go Link")</f>
        <v>12Go Link</v>
      </c>
      <c r="E12509" s="3" t="s">
        <v>9633</v>
      </c>
      <c r="K12509" s="5"/>
    </row>
    <row r="12510">
      <c r="A12510" s="3" t="s">
        <v>9539</v>
      </c>
      <c r="B12510" s="3" t="s">
        <v>9447</v>
      </c>
      <c r="C12510" s="3" t="s">
        <v>10208</v>
      </c>
      <c r="D12510" s="4" t="str">
        <f t="shared" si="1893"/>
        <v>12Go Link</v>
      </c>
      <c r="E12510" s="3" t="s">
        <v>10204</v>
      </c>
      <c r="K12510" s="5"/>
    </row>
    <row r="12511">
      <c r="A12511" s="3" t="s">
        <v>9539</v>
      </c>
      <c r="B12511" s="3" t="s">
        <v>9447</v>
      </c>
      <c r="C12511" s="3" t="s">
        <v>10209</v>
      </c>
      <c r="D12511" s="4" t="str">
        <f t="shared" ref="D12511:D12512" si="1894">HYPERLINK("https://12go.asia/en/travel/Mikes-Travel-Agency/My-Khe-Beach-at-Ebisu-Sushi-Restaurant", "12Go Link")</f>
        <v>12Go Link</v>
      </c>
      <c r="E12511" s="3" t="s">
        <v>9633</v>
      </c>
      <c r="K12511" s="5"/>
    </row>
    <row r="12512">
      <c r="A12512" s="3" t="s">
        <v>9539</v>
      </c>
      <c r="B12512" s="3" t="s">
        <v>9447</v>
      </c>
      <c r="C12512" s="3" t="s">
        <v>10209</v>
      </c>
      <c r="D12512" s="4" t="str">
        <f t="shared" si="1894"/>
        <v>12Go Link</v>
      </c>
      <c r="E12512" s="3" t="s">
        <v>10204</v>
      </c>
      <c r="K12512" s="5"/>
    </row>
    <row r="12513">
      <c r="A12513" s="3" t="s">
        <v>9539</v>
      </c>
      <c r="B12513" s="3" t="s">
        <v>9447</v>
      </c>
      <c r="C12513" s="3" t="s">
        <v>10210</v>
      </c>
      <c r="D12513" s="4" t="str">
        <f>HYPERLINK("https://12go.asia/en/travel/Mr-Khanh-Travel-Agency-Ninh-Binh/28-February-3rd-Street", "12Go Link")</f>
        <v>12Go Link</v>
      </c>
      <c r="E12513" s="3" t="s">
        <v>9374</v>
      </c>
      <c r="K12513" s="5"/>
    </row>
    <row r="12514">
      <c r="A12514" s="3" t="s">
        <v>9539</v>
      </c>
      <c r="B12514" s="3" t="s">
        <v>9447</v>
      </c>
      <c r="C12514" s="3" t="s">
        <v>10211</v>
      </c>
      <c r="D12514" s="4" t="str">
        <f>HYPERLINK("https://12go.asia/en/travel/Mr-Khanh-Travel-Agency-Ninh-Binh/41-February-3rd-Street", "12Go Link")</f>
        <v>12Go Link</v>
      </c>
      <c r="E12514" s="3" t="s">
        <v>9374</v>
      </c>
      <c r="K12514" s="5"/>
    </row>
    <row r="12515">
      <c r="A12515" s="3" t="s">
        <v>9539</v>
      </c>
      <c r="B12515" s="3" t="s">
        <v>9447</v>
      </c>
      <c r="C12515" s="3" t="s">
        <v>10212</v>
      </c>
      <c r="D12515" s="4" t="str">
        <f>HYPERLINK("https://12go.asia/en/travel/SDT-Ninh-Binh-Office/Da-Nang-An-Phu", "12Go Link")</f>
        <v>12Go Link</v>
      </c>
      <c r="E12515" s="3" t="s">
        <v>9449</v>
      </c>
      <c r="K12515" s="5"/>
    </row>
    <row r="12516">
      <c r="A12516" s="3" t="s">
        <v>9539</v>
      </c>
      <c r="B12516" s="3" t="s">
        <v>9447</v>
      </c>
      <c r="C12516" s="3" t="s">
        <v>10213</v>
      </c>
      <c r="D12516" s="4" t="str">
        <f t="shared" ref="D12516:D12517" si="1895">HYPERLINK("https://12go.asia/en/travel/Tam-Coc-NinhBinh/255-Le-Thach", "12Go Link")</f>
        <v>12Go Link</v>
      </c>
      <c r="E12516" s="3" t="s">
        <v>9633</v>
      </c>
      <c r="K12516" s="5"/>
    </row>
    <row r="12517">
      <c r="A12517" s="3" t="s">
        <v>9539</v>
      </c>
      <c r="B12517" s="3" t="s">
        <v>9447</v>
      </c>
      <c r="C12517" s="3" t="s">
        <v>10213</v>
      </c>
      <c r="D12517" s="4" t="str">
        <f t="shared" si="1895"/>
        <v>12Go Link</v>
      </c>
      <c r="E12517" s="3" t="s">
        <v>10204</v>
      </c>
      <c r="K12517" s="5"/>
    </row>
    <row r="12518">
      <c r="A12518" s="3" t="s">
        <v>9539</v>
      </c>
      <c r="B12518" s="3" t="s">
        <v>9447</v>
      </c>
      <c r="C12518" s="3" t="s">
        <v>10214</v>
      </c>
      <c r="D12518" s="4" t="str">
        <f t="shared" ref="D12518:D12519" si="1896">HYPERLINK("https://12go.asia/en/travel/Tam-Coc-NinhBinh/Ba-Na-Hills-Golden-Bridge", "12Go Link")</f>
        <v>12Go Link</v>
      </c>
      <c r="E12518" s="3" t="s">
        <v>9633</v>
      </c>
      <c r="K12518" s="5"/>
    </row>
    <row r="12519">
      <c r="A12519" s="3" t="s">
        <v>9539</v>
      </c>
      <c r="B12519" s="3" t="s">
        <v>9447</v>
      </c>
      <c r="C12519" s="3" t="s">
        <v>10214</v>
      </c>
      <c r="D12519" s="4" t="str">
        <f t="shared" si="1896"/>
        <v>12Go Link</v>
      </c>
      <c r="E12519" s="3" t="s">
        <v>10204</v>
      </c>
      <c r="K12519" s="5"/>
    </row>
    <row r="12520">
      <c r="A12520" s="3" t="s">
        <v>9539</v>
      </c>
      <c r="B12520" s="3" t="s">
        <v>9447</v>
      </c>
      <c r="C12520" s="3" t="s">
        <v>10215</v>
      </c>
      <c r="D12520" s="4" t="str">
        <f t="shared" ref="D12520:D12521" si="1897">HYPERLINK("https://12go.asia/en/travel/Tam-Coc-NinhBinh/Da-Nang-Bus-Central-Station", "12Go Link")</f>
        <v>12Go Link</v>
      </c>
      <c r="E12520" s="3" t="s">
        <v>9633</v>
      </c>
      <c r="K12520" s="5"/>
    </row>
    <row r="12521">
      <c r="A12521" s="3" t="s">
        <v>9539</v>
      </c>
      <c r="B12521" s="3" t="s">
        <v>9447</v>
      </c>
      <c r="C12521" s="3" t="s">
        <v>10215</v>
      </c>
      <c r="D12521" s="4" t="str">
        <f t="shared" si="1897"/>
        <v>12Go Link</v>
      </c>
      <c r="E12521" s="3" t="s">
        <v>10204</v>
      </c>
      <c r="K12521" s="5"/>
    </row>
    <row r="12522">
      <c r="A12522" s="3" t="s">
        <v>9539</v>
      </c>
      <c r="B12522" s="3" t="s">
        <v>9447</v>
      </c>
      <c r="C12522" s="3" t="s">
        <v>10216</v>
      </c>
      <c r="D12522" s="4" t="str">
        <f t="shared" ref="D12522:D12523" si="1898">HYPERLINK("https://12go.asia/en/travel/Tam-Coc-NinhBinh/My-Khe-Beach-at-Ebisu-Sushi-Restaurant", "12Go Link")</f>
        <v>12Go Link</v>
      </c>
      <c r="E12522" s="3" t="s">
        <v>9633</v>
      </c>
      <c r="K12522" s="5"/>
    </row>
    <row r="12523">
      <c r="A12523" s="3" t="s">
        <v>9539</v>
      </c>
      <c r="B12523" s="3" t="s">
        <v>9447</v>
      </c>
      <c r="C12523" s="3" t="s">
        <v>10216</v>
      </c>
      <c r="D12523" s="4" t="str">
        <f t="shared" si="1898"/>
        <v>12Go Link</v>
      </c>
      <c r="E12523" s="3" t="s">
        <v>10204</v>
      </c>
      <c r="K12523" s="5"/>
    </row>
    <row r="12524">
      <c r="A12524" s="3" t="s">
        <v>9539</v>
      </c>
      <c r="B12524" s="3" t="s">
        <v>9463</v>
      </c>
      <c r="C12524" s="3" t="s">
        <v>10217</v>
      </c>
      <c r="D12524" s="4" t="str">
        <f>HYPERLINK("https://12go.asia/en/travel/SDT-Ninh-Binh-Office/Thang-Long-Hotel", "12Go Link")</f>
        <v>12Go Link</v>
      </c>
      <c r="E12524" s="3" t="s">
        <v>9449</v>
      </c>
      <c r="K12524" s="5"/>
    </row>
    <row r="12525">
      <c r="A12525" s="3" t="s">
        <v>9539</v>
      </c>
      <c r="B12525" s="3" t="s">
        <v>9605</v>
      </c>
      <c r="C12525" s="3" t="s">
        <v>10218</v>
      </c>
      <c r="D12525" s="4" t="str">
        <f>HYPERLINK("https://12go.asia/en/travel/Break-Time-Coffee-Tam-Coc/32-Nguyen-Trai-Street", "12Go Link")</f>
        <v>12Go Link</v>
      </c>
      <c r="E12525" s="3" t="s">
        <v>9412</v>
      </c>
      <c r="K12525" s="5"/>
    </row>
    <row r="12526">
      <c r="A12526" s="3" t="s">
        <v>9539</v>
      </c>
      <c r="B12526" s="3" t="s">
        <v>9605</v>
      </c>
      <c r="C12526" s="3" t="s">
        <v>10219</v>
      </c>
      <c r="D12526" s="4" t="str">
        <f>HYPERLINK("https://12go.asia/en/travel/Napolis-Pizza-Bar-Tam-Coc-Ninh-binh/Hagiang-Hostel-AK-Group-Tour", "12Go Link")</f>
        <v>12Go Link</v>
      </c>
      <c r="E12526" s="3" t="s">
        <v>9706</v>
      </c>
      <c r="K12526" s="5"/>
    </row>
    <row r="12527">
      <c r="A12527" s="3" t="s">
        <v>9539</v>
      </c>
      <c r="B12527" s="3" t="s">
        <v>9605</v>
      </c>
      <c r="C12527" s="3" t="s">
        <v>10220</v>
      </c>
      <c r="D12527" s="4" t="str">
        <f>HYPERLINK("https://12go.asia/en/travel/Ninh-Binh-SSB/Hagiang-Hostel-AK-Group-Tour", "12Go Link")</f>
        <v>12Go Link</v>
      </c>
      <c r="E12527" s="3" t="s">
        <v>9706</v>
      </c>
      <c r="K12527" s="5"/>
    </row>
    <row r="12528">
      <c r="A12528" s="3" t="s">
        <v>9539</v>
      </c>
      <c r="B12528" s="3" t="s">
        <v>9610</v>
      </c>
      <c r="C12528" s="3" t="s">
        <v>10221</v>
      </c>
      <c r="D12528" s="4" t="str">
        <f>HYPERLINK("https://12go.asia/en/travel/Ninh-Binh-SSB/Cat-Ba-SSB", "12Go Link")</f>
        <v>12Go Link</v>
      </c>
      <c r="E12528" s="3" t="s">
        <v>10222</v>
      </c>
      <c r="K12528" s="5"/>
    </row>
    <row r="12529">
      <c r="A12529" s="3" t="s">
        <v>9539</v>
      </c>
      <c r="B12529" s="3" t="s">
        <v>9610</v>
      </c>
      <c r="C12529" s="3" t="s">
        <v>10223</v>
      </c>
      <c r="D12529" s="4" t="str">
        <f>HYPERLINK("https://12go.asia/en/travel/The-Long-Hotel-Tam-Coc/Cat-Ba-SSB", "12Go Link")</f>
        <v>12Go Link</v>
      </c>
      <c r="E12529" s="3" t="s">
        <v>10224</v>
      </c>
      <c r="K12529" s="5"/>
    </row>
    <row r="12530">
      <c r="A12530" s="3" t="s">
        <v>9539</v>
      </c>
      <c r="B12530" s="3" t="s">
        <v>9610</v>
      </c>
      <c r="C12530" s="3" t="s">
        <v>10225</v>
      </c>
      <c r="D12530" s="4" t="str">
        <f>HYPERLINK("https://12go.asia/en/travel/Trang-An-Boat-Station/Cat-Ba-SSB", "12Go Link")</f>
        <v>12Go Link</v>
      </c>
      <c r="E12530" s="3" t="s">
        <v>10226</v>
      </c>
      <c r="K12530" s="5"/>
    </row>
    <row r="12531">
      <c r="A12531" s="3" t="s">
        <v>9539</v>
      </c>
      <c r="B12531" s="3" t="s">
        <v>9625</v>
      </c>
      <c r="C12531" s="3" t="s">
        <v>10227</v>
      </c>
      <c r="D12531" s="4" t="str">
        <f>HYPERLINK("https://12go.asia/en/travel/Trang-An-Boat-Station/Tuan-Chau-Luxxury-SSB", "12Go Link")</f>
        <v>12Go Link</v>
      </c>
      <c r="E12531" s="3" t="s">
        <v>9831</v>
      </c>
      <c r="K12531" s="5"/>
    </row>
    <row r="12532">
      <c r="A12532" s="3" t="s">
        <v>9539</v>
      </c>
      <c r="B12532" s="3" t="s">
        <v>9466</v>
      </c>
      <c r="C12532" s="3" t="s">
        <v>10228</v>
      </c>
      <c r="D12532" s="4" t="str">
        <f>HYPERLINK("https://12go.asia/en/travel/Nha-Hang-0km-Tam-Coc/04-Hang-Chinh-Maison-Mackeno", "12Go Link")</f>
        <v>12Go Link</v>
      </c>
      <c r="E12532" s="3" t="s">
        <v>9831</v>
      </c>
      <c r="K12532" s="5"/>
    </row>
    <row r="12533">
      <c r="A12533" s="3" t="s">
        <v>9539</v>
      </c>
      <c r="B12533" s="3" t="s">
        <v>9466</v>
      </c>
      <c r="C12533" s="3" t="s">
        <v>10229</v>
      </c>
      <c r="D12533" s="4" t="str">
        <f t="shared" ref="D12533:D12535" si="1899">HYPERLINK("https://12go.asia/en/travel/Tam-Coc/Hanoi-City-Center-Transfer", "12Go Link")</f>
        <v>12Go Link</v>
      </c>
      <c r="E12533" s="3" t="s">
        <v>222</v>
      </c>
      <c r="K12533" s="5"/>
    </row>
    <row r="12534">
      <c r="A12534" s="3" t="s">
        <v>9539</v>
      </c>
      <c r="B12534" s="3" t="s">
        <v>9466</v>
      </c>
      <c r="C12534" s="3" t="s">
        <v>10229</v>
      </c>
      <c r="D12534" s="4" t="str">
        <f t="shared" si="1899"/>
        <v>12Go Link</v>
      </c>
      <c r="E12534" s="3" t="s">
        <v>8111</v>
      </c>
      <c r="K12534" s="5"/>
    </row>
    <row r="12535">
      <c r="A12535" s="3" t="s">
        <v>9539</v>
      </c>
      <c r="B12535" s="3" t="s">
        <v>9466</v>
      </c>
      <c r="C12535" s="3" t="s">
        <v>10229</v>
      </c>
      <c r="D12535" s="4" t="str">
        <f t="shared" si="1899"/>
        <v>12Go Link</v>
      </c>
      <c r="E12535" s="3" t="s">
        <v>226</v>
      </c>
      <c r="K12535" s="5"/>
    </row>
    <row r="12536">
      <c r="A12536" s="3" t="s">
        <v>9539</v>
      </c>
      <c r="B12536" s="3" t="s">
        <v>9466</v>
      </c>
      <c r="C12536" s="3" t="s">
        <v>10230</v>
      </c>
      <c r="D12536" s="4" t="str">
        <f>HYPERLINK("https://12go.asia/en/travel/The-Long-Hotel-Tam-Coc/Hanoi-SSB", "12Go Link")</f>
        <v>12Go Link</v>
      </c>
      <c r="E12536" s="3" t="s">
        <v>9495</v>
      </c>
      <c r="K12536" s="5"/>
    </row>
    <row r="12537">
      <c r="A12537" s="3" t="s">
        <v>9539</v>
      </c>
      <c r="B12537" s="3" t="s">
        <v>9466</v>
      </c>
      <c r="C12537" s="3" t="s">
        <v>10231</v>
      </c>
      <c r="D12537" s="4" t="str">
        <f t="shared" ref="D12537:D12539" si="1900">HYPERLINK("https://12go.asia/en/travel/Trang-An/Hanoi-City-Center-Transfer", "12Go Link")</f>
        <v>12Go Link</v>
      </c>
      <c r="E12537" s="3" t="s">
        <v>222</v>
      </c>
      <c r="K12537" s="5"/>
    </row>
    <row r="12538">
      <c r="A12538" s="3" t="s">
        <v>9539</v>
      </c>
      <c r="B12538" s="3" t="s">
        <v>9466</v>
      </c>
      <c r="C12538" s="3" t="s">
        <v>10231</v>
      </c>
      <c r="D12538" s="4" t="str">
        <f t="shared" si="1900"/>
        <v>12Go Link</v>
      </c>
      <c r="E12538" s="3" t="s">
        <v>8111</v>
      </c>
      <c r="K12538" s="5"/>
    </row>
    <row r="12539">
      <c r="A12539" s="3" t="s">
        <v>9539</v>
      </c>
      <c r="B12539" s="3" t="s">
        <v>9466</v>
      </c>
      <c r="C12539" s="3" t="s">
        <v>10231</v>
      </c>
      <c r="D12539" s="4" t="str">
        <f t="shared" si="1900"/>
        <v>12Go Link</v>
      </c>
      <c r="E12539" s="3" t="s">
        <v>226</v>
      </c>
      <c r="K12539" s="5"/>
    </row>
    <row r="12540">
      <c r="A12540" s="3" t="s">
        <v>9539</v>
      </c>
      <c r="B12540" s="3" t="s">
        <v>9487</v>
      </c>
      <c r="C12540" s="3" t="s">
        <v>10232</v>
      </c>
      <c r="D12540" s="4" t="str">
        <f t="shared" ref="D12540:D12542" si="1901">HYPERLINK("https://12go.asia/en/travel/Mikes-Travel-Agency/105-Ton-Duc-Thang", "12Go Link")</f>
        <v>12Go Link</v>
      </c>
      <c r="E12540" s="3" t="s">
        <v>9374</v>
      </c>
      <c r="K12540" s="5"/>
    </row>
    <row r="12541">
      <c r="A12541" s="3" t="s">
        <v>9539</v>
      </c>
      <c r="B12541" s="3" t="s">
        <v>9487</v>
      </c>
      <c r="C12541" s="3" t="s">
        <v>10232</v>
      </c>
      <c r="D12541" s="4" t="str">
        <f t="shared" si="1901"/>
        <v>12Go Link</v>
      </c>
      <c r="E12541" s="3" t="s">
        <v>9633</v>
      </c>
      <c r="K12541" s="5"/>
    </row>
    <row r="12542">
      <c r="A12542" s="3" t="s">
        <v>9539</v>
      </c>
      <c r="B12542" s="3" t="s">
        <v>9487</v>
      </c>
      <c r="C12542" s="3" t="s">
        <v>10232</v>
      </c>
      <c r="D12542" s="4" t="str">
        <f t="shared" si="1901"/>
        <v>12Go Link</v>
      </c>
      <c r="E12542" s="3" t="s">
        <v>10204</v>
      </c>
      <c r="K12542" s="5"/>
    </row>
    <row r="12543">
      <c r="A12543" s="3" t="s">
        <v>9539</v>
      </c>
      <c r="B12543" s="3" t="s">
        <v>9487</v>
      </c>
      <c r="C12543" s="3" t="s">
        <v>10233</v>
      </c>
      <c r="D12543" s="4" t="str">
        <f t="shared" ref="D12543:D12544" si="1902">HYPERLINK("https://12go.asia/en/travel/Mikes-Travel-Agency/137-Tran-Nhan-Tong", "12Go Link")</f>
        <v>12Go Link</v>
      </c>
      <c r="E12543" s="3" t="s">
        <v>9633</v>
      </c>
      <c r="K12543" s="5"/>
    </row>
    <row r="12544">
      <c r="A12544" s="3" t="s">
        <v>9539</v>
      </c>
      <c r="B12544" s="3" t="s">
        <v>9487</v>
      </c>
      <c r="C12544" s="3" t="s">
        <v>10233</v>
      </c>
      <c r="D12544" s="4" t="str">
        <f t="shared" si="1902"/>
        <v>12Go Link</v>
      </c>
      <c r="E12544" s="3" t="s">
        <v>10204</v>
      </c>
      <c r="K12544" s="5"/>
    </row>
    <row r="12545">
      <c r="A12545" s="3" t="s">
        <v>9539</v>
      </c>
      <c r="B12545" s="3" t="s">
        <v>9487</v>
      </c>
      <c r="C12545" s="3" t="s">
        <v>10234</v>
      </c>
      <c r="D12545" s="4" t="str">
        <f t="shared" ref="D12545:D12547" si="1903">HYPERLINK("https://12go.asia/en/travel/Mikes-Travel-Agency/23-Nguyen-Tat-Thanh", "12Go Link")</f>
        <v>12Go Link</v>
      </c>
      <c r="E12545" s="3" t="s">
        <v>9374</v>
      </c>
      <c r="K12545" s="5"/>
    </row>
    <row r="12546">
      <c r="A12546" s="3" t="s">
        <v>9539</v>
      </c>
      <c r="B12546" s="3" t="s">
        <v>9487</v>
      </c>
      <c r="C12546" s="3" t="s">
        <v>10234</v>
      </c>
      <c r="D12546" s="4" t="str">
        <f t="shared" si="1903"/>
        <v>12Go Link</v>
      </c>
      <c r="E12546" s="3" t="s">
        <v>9633</v>
      </c>
      <c r="K12546" s="5"/>
    </row>
    <row r="12547">
      <c r="A12547" s="3" t="s">
        <v>9539</v>
      </c>
      <c r="B12547" s="3" t="s">
        <v>9487</v>
      </c>
      <c r="C12547" s="3" t="s">
        <v>10234</v>
      </c>
      <c r="D12547" s="4" t="str">
        <f t="shared" si="1903"/>
        <v>12Go Link</v>
      </c>
      <c r="E12547" s="3" t="s">
        <v>10204</v>
      </c>
      <c r="K12547" s="5"/>
    </row>
    <row r="12548">
      <c r="A12548" s="3" t="s">
        <v>9539</v>
      </c>
      <c r="B12548" s="3" t="s">
        <v>9487</v>
      </c>
      <c r="C12548" s="3" t="s">
        <v>10235</v>
      </c>
      <c r="D12548" s="4" t="str">
        <f t="shared" ref="D12548:D12549" si="1904">HYPERLINK("https://12go.asia/en/travel/Mikes-Travel-Agency/Highlands-Coffee", "12Go Link")</f>
        <v>12Go Link</v>
      </c>
      <c r="E12548" s="3" t="s">
        <v>9633</v>
      </c>
      <c r="K12548" s="5"/>
    </row>
    <row r="12549">
      <c r="A12549" s="3" t="s">
        <v>9539</v>
      </c>
      <c r="B12549" s="3" t="s">
        <v>9487</v>
      </c>
      <c r="C12549" s="3" t="s">
        <v>10235</v>
      </c>
      <c r="D12549" s="4" t="str">
        <f t="shared" si="1904"/>
        <v>12Go Link</v>
      </c>
      <c r="E12549" s="3" t="s">
        <v>10204</v>
      </c>
      <c r="K12549" s="5"/>
    </row>
    <row r="12550">
      <c r="A12550" s="3" t="s">
        <v>9539</v>
      </c>
      <c r="B12550" s="3" t="s">
        <v>9487</v>
      </c>
      <c r="C12550" s="3" t="s">
        <v>10236</v>
      </c>
      <c r="D12550" s="4" t="str">
        <f t="shared" ref="D12550:D12551" si="1905">HYPERLINK("https://12go.asia/en/travel/Mikes-Travel-Agency/Hoi-An-An-Bang-Beach", "12Go Link")</f>
        <v>12Go Link</v>
      </c>
      <c r="E12550" s="3" t="s">
        <v>9633</v>
      </c>
      <c r="K12550" s="5"/>
    </row>
    <row r="12551">
      <c r="A12551" s="3" t="s">
        <v>9539</v>
      </c>
      <c r="B12551" s="3" t="s">
        <v>9487</v>
      </c>
      <c r="C12551" s="3" t="s">
        <v>10236</v>
      </c>
      <c r="D12551" s="4" t="str">
        <f t="shared" si="1905"/>
        <v>12Go Link</v>
      </c>
      <c r="E12551" s="3" t="s">
        <v>10204</v>
      </c>
      <c r="K12551" s="5"/>
    </row>
    <row r="12552">
      <c r="A12552" s="3" t="s">
        <v>9539</v>
      </c>
      <c r="B12552" s="3" t="s">
        <v>9487</v>
      </c>
      <c r="C12552" s="3" t="s">
        <v>10237</v>
      </c>
      <c r="D12552" s="4" t="str">
        <f t="shared" ref="D12552:D12553" si="1906">HYPERLINK("https://12go.asia/en/travel/Mikes-Travel-Agency/Song-Hoai-Square", "12Go Link")</f>
        <v>12Go Link</v>
      </c>
      <c r="E12552" s="3" t="s">
        <v>9633</v>
      </c>
      <c r="K12552" s="5"/>
    </row>
    <row r="12553">
      <c r="A12553" s="3" t="s">
        <v>9539</v>
      </c>
      <c r="B12553" s="3" t="s">
        <v>9487</v>
      </c>
      <c r="C12553" s="3" t="s">
        <v>10237</v>
      </c>
      <c r="D12553" s="4" t="str">
        <f t="shared" si="1906"/>
        <v>12Go Link</v>
      </c>
      <c r="E12553" s="3" t="s">
        <v>10204</v>
      </c>
      <c r="K12553" s="5"/>
    </row>
    <row r="12554">
      <c r="A12554" s="3" t="s">
        <v>9539</v>
      </c>
      <c r="B12554" s="3" t="s">
        <v>9487</v>
      </c>
      <c r="C12554" s="3" t="s">
        <v>10238</v>
      </c>
      <c r="D12554" s="4" t="str">
        <f>HYPERLINK("https://12go.asia/en/travel/Mr-Khanh-Travel-Agency-Ninh-Binh/105-Ton-Duc-Thang", "12Go Link")</f>
        <v>12Go Link</v>
      </c>
      <c r="E12554" s="3" t="s">
        <v>9374</v>
      </c>
      <c r="K12554" s="5"/>
    </row>
    <row r="12555">
      <c r="A12555" s="3" t="s">
        <v>9539</v>
      </c>
      <c r="B12555" s="3" t="s">
        <v>9487</v>
      </c>
      <c r="C12555" s="3" t="s">
        <v>10239</v>
      </c>
      <c r="D12555" s="4" t="str">
        <f>HYPERLINK("https://12go.asia/en/travel/Mr-Khanh-Travel-Agency-Ninh-Binh/23-Nguyen-Tat-Thanh", "12Go Link")</f>
        <v>12Go Link</v>
      </c>
      <c r="E12555" s="3" t="s">
        <v>9374</v>
      </c>
      <c r="K12555" s="5"/>
    </row>
    <row r="12556">
      <c r="A12556" s="3" t="s">
        <v>9539</v>
      </c>
      <c r="B12556" s="3" t="s">
        <v>9487</v>
      </c>
      <c r="C12556" s="3" t="s">
        <v>10240</v>
      </c>
      <c r="D12556" s="4" t="str">
        <f>HYPERLINK("https://12go.asia/en/travel/SDT-Ninh-Binh-Office/Vinh-Duc-Hospital", "12Go Link")</f>
        <v>12Go Link</v>
      </c>
      <c r="E12556" s="3" t="s">
        <v>9449</v>
      </c>
      <c r="K12556" s="5"/>
    </row>
    <row r="12557">
      <c r="A12557" s="3" t="s">
        <v>9539</v>
      </c>
      <c r="B12557" s="3" t="s">
        <v>9487</v>
      </c>
      <c r="C12557" s="3" t="s">
        <v>10241</v>
      </c>
      <c r="D12557" s="4" t="str">
        <f t="shared" ref="D12557:D12558" si="1907">HYPERLINK("https://12go.asia/en/travel/Tam-Coc-NinhBinh/105-Ton-Duc-Thang", "12Go Link")</f>
        <v>12Go Link</v>
      </c>
      <c r="E12557" s="3" t="s">
        <v>9633</v>
      </c>
      <c r="K12557" s="5"/>
    </row>
    <row r="12558">
      <c r="A12558" s="3" t="s">
        <v>9539</v>
      </c>
      <c r="B12558" s="3" t="s">
        <v>9487</v>
      </c>
      <c r="C12558" s="3" t="s">
        <v>10241</v>
      </c>
      <c r="D12558" s="4" t="str">
        <f t="shared" si="1907"/>
        <v>12Go Link</v>
      </c>
      <c r="E12558" s="3" t="s">
        <v>10204</v>
      </c>
      <c r="K12558" s="5"/>
    </row>
    <row r="12559">
      <c r="A12559" s="3" t="s">
        <v>9539</v>
      </c>
      <c r="B12559" s="3" t="s">
        <v>9487</v>
      </c>
      <c r="C12559" s="3" t="s">
        <v>10242</v>
      </c>
      <c r="D12559" s="4" t="str">
        <f t="shared" ref="D12559:D12560" si="1908">HYPERLINK("https://12go.asia/en/travel/Tam-Coc-NinhBinh/137-Tran-Nhan-Tong", "12Go Link")</f>
        <v>12Go Link</v>
      </c>
      <c r="E12559" s="3" t="s">
        <v>9633</v>
      </c>
      <c r="K12559" s="5"/>
    </row>
    <row r="12560">
      <c r="A12560" s="3" t="s">
        <v>9539</v>
      </c>
      <c r="B12560" s="3" t="s">
        <v>9487</v>
      </c>
      <c r="C12560" s="3" t="s">
        <v>10242</v>
      </c>
      <c r="D12560" s="4" t="str">
        <f t="shared" si="1908"/>
        <v>12Go Link</v>
      </c>
      <c r="E12560" s="3" t="s">
        <v>10204</v>
      </c>
      <c r="K12560" s="5"/>
    </row>
    <row r="12561">
      <c r="A12561" s="3" t="s">
        <v>9539</v>
      </c>
      <c r="B12561" s="3" t="s">
        <v>9487</v>
      </c>
      <c r="C12561" s="3" t="s">
        <v>10243</v>
      </c>
      <c r="D12561" s="4" t="str">
        <f t="shared" ref="D12561:D12562" si="1909">HYPERLINK("https://12go.asia/en/travel/Tam-Coc-NinhBinh/23-Nguyen-Tat-Thanh", "12Go Link")</f>
        <v>12Go Link</v>
      </c>
      <c r="E12561" s="3" t="s">
        <v>9633</v>
      </c>
      <c r="K12561" s="5"/>
    </row>
    <row r="12562">
      <c r="A12562" s="3" t="s">
        <v>9539</v>
      </c>
      <c r="B12562" s="3" t="s">
        <v>9487</v>
      </c>
      <c r="C12562" s="3" t="s">
        <v>10243</v>
      </c>
      <c r="D12562" s="4" t="str">
        <f t="shared" si="1909"/>
        <v>12Go Link</v>
      </c>
      <c r="E12562" s="3" t="s">
        <v>10204</v>
      </c>
      <c r="K12562" s="5"/>
    </row>
    <row r="12563">
      <c r="A12563" s="3" t="s">
        <v>9539</v>
      </c>
      <c r="B12563" s="3" t="s">
        <v>9487</v>
      </c>
      <c r="C12563" s="3" t="s">
        <v>10244</v>
      </c>
      <c r="D12563" s="4" t="str">
        <f t="shared" ref="D12563:D12564" si="1910">HYPERLINK("https://12go.asia/en/travel/Tam-Coc-NinhBinh/Highlands-Coffee", "12Go Link")</f>
        <v>12Go Link</v>
      </c>
      <c r="E12563" s="3" t="s">
        <v>9633</v>
      </c>
      <c r="K12563" s="5"/>
    </row>
    <row r="12564">
      <c r="A12564" s="3" t="s">
        <v>9539</v>
      </c>
      <c r="B12564" s="3" t="s">
        <v>9487</v>
      </c>
      <c r="C12564" s="3" t="s">
        <v>10244</v>
      </c>
      <c r="D12564" s="4" t="str">
        <f t="shared" si="1910"/>
        <v>12Go Link</v>
      </c>
      <c r="E12564" s="3" t="s">
        <v>10204</v>
      </c>
      <c r="K12564" s="5"/>
    </row>
    <row r="12565">
      <c r="A12565" s="3" t="s">
        <v>9539</v>
      </c>
      <c r="B12565" s="3" t="s">
        <v>9487</v>
      </c>
      <c r="C12565" s="3" t="s">
        <v>10245</v>
      </c>
      <c r="D12565" s="4" t="str">
        <f t="shared" ref="D12565:D12566" si="1911">HYPERLINK("https://12go.asia/en/travel/Tam-Coc-NinhBinh/Hoi-An-An-Bang-Beach", "12Go Link")</f>
        <v>12Go Link</v>
      </c>
      <c r="E12565" s="3" t="s">
        <v>9633</v>
      </c>
      <c r="K12565" s="5"/>
    </row>
    <row r="12566">
      <c r="A12566" s="3" t="s">
        <v>9539</v>
      </c>
      <c r="B12566" s="3" t="s">
        <v>9487</v>
      </c>
      <c r="C12566" s="3" t="s">
        <v>10245</v>
      </c>
      <c r="D12566" s="4" t="str">
        <f t="shared" si="1911"/>
        <v>12Go Link</v>
      </c>
      <c r="E12566" s="3" t="s">
        <v>10204</v>
      </c>
      <c r="K12566" s="5"/>
    </row>
    <row r="12567">
      <c r="A12567" s="3" t="s">
        <v>9539</v>
      </c>
      <c r="B12567" s="3" t="s">
        <v>9487</v>
      </c>
      <c r="C12567" s="3" t="s">
        <v>10246</v>
      </c>
      <c r="D12567" s="4" t="str">
        <f t="shared" ref="D12567:D12568" si="1912">HYPERLINK("https://12go.asia/en/travel/Tam-Coc-NinhBinh/Song-Hoai-Square", "12Go Link")</f>
        <v>12Go Link</v>
      </c>
      <c r="E12567" s="3" t="s">
        <v>9633</v>
      </c>
      <c r="K12567" s="5"/>
    </row>
    <row r="12568">
      <c r="A12568" s="3" t="s">
        <v>9539</v>
      </c>
      <c r="B12568" s="3" t="s">
        <v>9487</v>
      </c>
      <c r="C12568" s="3" t="s">
        <v>10246</v>
      </c>
      <c r="D12568" s="4" t="str">
        <f t="shared" si="1912"/>
        <v>12Go Link</v>
      </c>
      <c r="E12568" s="3" t="s">
        <v>10204</v>
      </c>
      <c r="K12568" s="5"/>
    </row>
    <row r="12569">
      <c r="A12569" s="3" t="s">
        <v>9539</v>
      </c>
      <c r="B12569" s="3" t="s">
        <v>9502</v>
      </c>
      <c r="C12569" s="3" t="s">
        <v>10247</v>
      </c>
      <c r="D12569" s="4" t="str">
        <f t="shared" ref="D12569:D12570" si="1913">HYPERLINK("https://12go.asia/en/travel/Mikes-Travel-Agency/2-Lam-Hoang-Vy-Da", "12Go Link")</f>
        <v>12Go Link</v>
      </c>
      <c r="E12569" s="3" t="s">
        <v>9633</v>
      </c>
      <c r="K12569" s="5"/>
    </row>
    <row r="12570">
      <c r="A12570" s="3" t="s">
        <v>9539</v>
      </c>
      <c r="B12570" s="3" t="s">
        <v>9502</v>
      </c>
      <c r="C12570" s="3" t="s">
        <v>10247</v>
      </c>
      <c r="D12570" s="4" t="str">
        <f t="shared" si="1913"/>
        <v>12Go Link</v>
      </c>
      <c r="E12570" s="3" t="s">
        <v>10204</v>
      </c>
      <c r="K12570" s="5"/>
    </row>
    <row r="12571">
      <c r="A12571" s="3" t="s">
        <v>9539</v>
      </c>
      <c r="B12571" s="3" t="s">
        <v>9502</v>
      </c>
      <c r="C12571" s="3" t="s">
        <v>10248</v>
      </c>
      <c r="D12571" s="4" t="str">
        <f>HYPERLINK("https://12go.asia/en/travel/Mikes-Travel-Agency/38-Le-Loi", "12Go Link")</f>
        <v>12Go Link</v>
      </c>
      <c r="E12571" s="3" t="s">
        <v>9374</v>
      </c>
      <c r="K12571" s="5"/>
    </row>
    <row r="12572">
      <c r="A12572" s="3" t="s">
        <v>9539</v>
      </c>
      <c r="B12572" s="3" t="s">
        <v>9502</v>
      </c>
      <c r="C12572" s="3" t="s">
        <v>10249</v>
      </c>
      <c r="D12572" s="4" t="str">
        <f t="shared" ref="D12572:D12574" si="1914">HYPERLINK("https://12go.asia/en/travel/Mikes-Travel-Agency/44-Chu-van-An-Street", "12Go Link")</f>
        <v>12Go Link</v>
      </c>
      <c r="E12572" s="3" t="s">
        <v>9374</v>
      </c>
      <c r="K12572" s="5"/>
    </row>
    <row r="12573">
      <c r="A12573" s="3" t="s">
        <v>9539</v>
      </c>
      <c r="B12573" s="3" t="s">
        <v>9502</v>
      </c>
      <c r="C12573" s="3" t="s">
        <v>10249</v>
      </c>
      <c r="D12573" s="4" t="str">
        <f t="shared" si="1914"/>
        <v>12Go Link</v>
      </c>
      <c r="E12573" s="3" t="s">
        <v>9633</v>
      </c>
      <c r="K12573" s="5"/>
    </row>
    <row r="12574">
      <c r="A12574" s="3" t="s">
        <v>9539</v>
      </c>
      <c r="B12574" s="3" t="s">
        <v>9502</v>
      </c>
      <c r="C12574" s="3" t="s">
        <v>10249</v>
      </c>
      <c r="D12574" s="4" t="str">
        <f t="shared" si="1914"/>
        <v>12Go Link</v>
      </c>
      <c r="E12574" s="3" t="s">
        <v>10204</v>
      </c>
      <c r="K12574" s="5"/>
    </row>
    <row r="12575">
      <c r="A12575" s="3" t="s">
        <v>9539</v>
      </c>
      <c r="B12575" s="3" t="s">
        <v>9502</v>
      </c>
      <c r="C12575" s="3" t="s">
        <v>10250</v>
      </c>
      <c r="D12575" s="4" t="str">
        <f t="shared" ref="D12575:D12577" si="1915">HYPERLINK("https://12go.asia/en/travel/Mikes-Travel-Agency/7-Doi-Cung-Hue", "12Go Link")</f>
        <v>12Go Link</v>
      </c>
      <c r="E12575" s="3" t="s">
        <v>9374</v>
      </c>
      <c r="K12575" s="5"/>
    </row>
    <row r="12576">
      <c r="A12576" s="3" t="s">
        <v>9539</v>
      </c>
      <c r="B12576" s="3" t="s">
        <v>9502</v>
      </c>
      <c r="C12576" s="3" t="s">
        <v>10250</v>
      </c>
      <c r="D12576" s="4" t="str">
        <f t="shared" si="1915"/>
        <v>12Go Link</v>
      </c>
      <c r="E12576" s="3" t="s">
        <v>9633</v>
      </c>
      <c r="K12576" s="5"/>
    </row>
    <row r="12577">
      <c r="A12577" s="3" t="s">
        <v>9539</v>
      </c>
      <c r="B12577" s="3" t="s">
        <v>9502</v>
      </c>
      <c r="C12577" s="3" t="s">
        <v>10250</v>
      </c>
      <c r="D12577" s="4" t="str">
        <f t="shared" si="1915"/>
        <v>12Go Link</v>
      </c>
      <c r="E12577" s="3" t="s">
        <v>10204</v>
      </c>
      <c r="K12577" s="5"/>
    </row>
    <row r="12578">
      <c r="A12578" s="3" t="s">
        <v>9539</v>
      </c>
      <c r="B12578" s="3" t="s">
        <v>9502</v>
      </c>
      <c r="C12578" s="3" t="s">
        <v>10251</v>
      </c>
      <c r="D12578" s="4" t="str">
        <f t="shared" ref="D12578:D12579" si="1916">HYPERLINK("https://12go.asia/en/travel/Mikes-Travel-Agency/86-Nguyen-Sinh-Cung", "12Go Link")</f>
        <v>12Go Link</v>
      </c>
      <c r="E12578" s="3" t="s">
        <v>9633</v>
      </c>
      <c r="K12578" s="5"/>
    </row>
    <row r="12579">
      <c r="A12579" s="3" t="s">
        <v>9539</v>
      </c>
      <c r="B12579" s="3" t="s">
        <v>9502</v>
      </c>
      <c r="C12579" s="3" t="s">
        <v>10251</v>
      </c>
      <c r="D12579" s="4" t="str">
        <f t="shared" si="1916"/>
        <v>12Go Link</v>
      </c>
      <c r="E12579" s="3" t="s">
        <v>10204</v>
      </c>
      <c r="K12579" s="5"/>
    </row>
    <row r="12580">
      <c r="A12580" s="3" t="s">
        <v>9539</v>
      </c>
      <c r="B12580" s="3" t="s">
        <v>9502</v>
      </c>
      <c r="C12580" s="3" t="s">
        <v>10252</v>
      </c>
      <c r="D12580" s="4" t="str">
        <f>HYPERLINK("https://12go.asia/en/travel/Mikes-Travel-Agency/Benly-Coffee", "12Go Link")</f>
        <v>12Go Link</v>
      </c>
      <c r="E12580" s="3" t="s">
        <v>9374</v>
      </c>
      <c r="K12580" s="5"/>
    </row>
    <row r="12581">
      <c r="A12581" s="3" t="s">
        <v>9539</v>
      </c>
      <c r="B12581" s="3" t="s">
        <v>9502</v>
      </c>
      <c r="C12581" s="3" t="s">
        <v>10253</v>
      </c>
      <c r="D12581" s="4" t="str">
        <f>HYPERLINK("https://12go.asia/en/travel/Mikes-Travel-Agency/Hue-Northern-Bus-Station", "12Go Link")</f>
        <v>12Go Link</v>
      </c>
      <c r="E12581" s="3" t="s">
        <v>9374</v>
      </c>
      <c r="K12581" s="5"/>
    </row>
    <row r="12582">
      <c r="A12582" s="3" t="s">
        <v>9539</v>
      </c>
      <c r="B12582" s="3" t="s">
        <v>9502</v>
      </c>
      <c r="C12582" s="3" t="s">
        <v>10254</v>
      </c>
      <c r="D12582" s="4" t="str">
        <f>HYPERLINK("https://12go.asia/en/travel/Mr-Khanh-Travel-Agency-Ninh-Binh/38-Le-Loi", "12Go Link")</f>
        <v>12Go Link</v>
      </c>
      <c r="E12582" s="3" t="s">
        <v>9374</v>
      </c>
      <c r="K12582" s="5"/>
    </row>
    <row r="12583">
      <c r="A12583" s="3" t="s">
        <v>9539</v>
      </c>
      <c r="B12583" s="3" t="s">
        <v>9502</v>
      </c>
      <c r="C12583" s="3" t="s">
        <v>10255</v>
      </c>
      <c r="D12583" s="4" t="str">
        <f>HYPERLINK("https://12go.asia/en/travel/Mr-Khanh-Travel-Agency-Ninh-Binh/44-Chu-van-An-Street", "12Go Link")</f>
        <v>12Go Link</v>
      </c>
      <c r="E12583" s="3" t="s">
        <v>9374</v>
      </c>
      <c r="K12583" s="5"/>
    </row>
    <row r="12584">
      <c r="A12584" s="3" t="s">
        <v>9539</v>
      </c>
      <c r="B12584" s="3" t="s">
        <v>9502</v>
      </c>
      <c r="C12584" s="3" t="s">
        <v>10256</v>
      </c>
      <c r="D12584" s="4" t="str">
        <f>HYPERLINK("https://12go.asia/en/travel/Mr-Khanh-Travel-Agency-Ninh-Binh/7-Doi-Cung-Hue", "12Go Link")</f>
        <v>12Go Link</v>
      </c>
      <c r="E12584" s="3" t="s">
        <v>9374</v>
      </c>
      <c r="K12584" s="5"/>
    </row>
    <row r="12585">
      <c r="A12585" s="3" t="s">
        <v>9539</v>
      </c>
      <c r="B12585" s="3" t="s">
        <v>9502</v>
      </c>
      <c r="C12585" s="3" t="s">
        <v>10257</v>
      </c>
      <c r="D12585" s="4" t="str">
        <f>HYPERLINK("https://12go.asia/en/travel/Mr-Khanh-Travel-Agency-Ninh-Binh/Benly-Coffee", "12Go Link")</f>
        <v>12Go Link</v>
      </c>
      <c r="E12585" s="3" t="s">
        <v>9374</v>
      </c>
      <c r="K12585" s="5"/>
    </row>
    <row r="12586">
      <c r="A12586" s="3" t="s">
        <v>9539</v>
      </c>
      <c r="B12586" s="3" t="s">
        <v>9502</v>
      </c>
      <c r="C12586" s="3" t="s">
        <v>10258</v>
      </c>
      <c r="D12586" s="4" t="str">
        <f>HYPERLINK("https://12go.asia/en/travel/Mr-Khanh-Travel-Agency-Ninh-Binh/Hue-Northern-Bus-Station", "12Go Link")</f>
        <v>12Go Link</v>
      </c>
      <c r="E12586" s="3" t="s">
        <v>9374</v>
      </c>
      <c r="K12586" s="5"/>
    </row>
    <row r="12587">
      <c r="A12587" s="3" t="s">
        <v>9539</v>
      </c>
      <c r="B12587" s="3" t="s">
        <v>9502</v>
      </c>
      <c r="C12587" s="3" t="s">
        <v>10259</v>
      </c>
      <c r="D12587" s="4" t="str">
        <f>HYPERLINK("https://12go.asia/en/travel/Ninh-Binh-Central-Hotel/86-Nguyen-Sinh-Cung", "12Go Link")</f>
        <v>12Go Link</v>
      </c>
      <c r="E12587" s="3" t="s">
        <v>9474</v>
      </c>
      <c r="K12587" s="5"/>
    </row>
    <row r="12588">
      <c r="A12588" s="3" t="s">
        <v>9539</v>
      </c>
      <c r="B12588" s="3" t="s">
        <v>9502</v>
      </c>
      <c r="C12588" s="3" t="s">
        <v>10260</v>
      </c>
      <c r="D12588" s="4" t="str">
        <f>HYPERLINK("https://12go.asia/en/travel/SDT-Ninh-Binh-Office/Gas-Station-24", "12Go Link")</f>
        <v>12Go Link</v>
      </c>
      <c r="E12588" s="3" t="s">
        <v>9449</v>
      </c>
      <c r="K12588" s="5"/>
    </row>
    <row r="12589">
      <c r="A12589" s="3" t="s">
        <v>9539</v>
      </c>
      <c r="B12589" s="3" t="s">
        <v>9502</v>
      </c>
      <c r="C12589" s="3" t="s">
        <v>10261</v>
      </c>
      <c r="D12589" s="4" t="str">
        <f t="shared" ref="D12589:D12590" si="1917">HYPERLINK("https://12go.asia/en/travel/Tam-Coc-NinhBinh/174-Ba-Trieu", "12Go Link")</f>
        <v>12Go Link</v>
      </c>
      <c r="E12589" s="3" t="s">
        <v>9633</v>
      </c>
      <c r="K12589" s="5"/>
    </row>
    <row r="12590">
      <c r="A12590" s="3" t="s">
        <v>9539</v>
      </c>
      <c r="B12590" s="3" t="s">
        <v>9502</v>
      </c>
      <c r="C12590" s="3" t="s">
        <v>10261</v>
      </c>
      <c r="D12590" s="4" t="str">
        <f t="shared" si="1917"/>
        <v>12Go Link</v>
      </c>
      <c r="E12590" s="3" t="s">
        <v>10204</v>
      </c>
      <c r="K12590" s="5"/>
    </row>
    <row r="12591">
      <c r="A12591" s="3" t="s">
        <v>9539</v>
      </c>
      <c r="B12591" s="3" t="s">
        <v>9502</v>
      </c>
      <c r="C12591" s="3" t="s">
        <v>10262</v>
      </c>
      <c r="D12591" s="4" t="str">
        <f t="shared" ref="D12591:D12592" si="1918">HYPERLINK("https://12go.asia/en/travel/Tam-Coc-NinhBinh/2-Lam-Hoang-Vy-Da", "12Go Link")</f>
        <v>12Go Link</v>
      </c>
      <c r="E12591" s="3" t="s">
        <v>9633</v>
      </c>
      <c r="K12591" s="5"/>
    </row>
    <row r="12592">
      <c r="A12592" s="3" t="s">
        <v>9539</v>
      </c>
      <c r="B12592" s="3" t="s">
        <v>9502</v>
      </c>
      <c r="C12592" s="3" t="s">
        <v>10262</v>
      </c>
      <c r="D12592" s="4" t="str">
        <f t="shared" si="1918"/>
        <v>12Go Link</v>
      </c>
      <c r="E12592" s="3" t="s">
        <v>10204</v>
      </c>
      <c r="K12592" s="5"/>
    </row>
    <row r="12593">
      <c r="A12593" s="3" t="s">
        <v>9539</v>
      </c>
      <c r="B12593" s="3" t="s">
        <v>9502</v>
      </c>
      <c r="C12593" s="3" t="s">
        <v>10263</v>
      </c>
      <c r="D12593" s="4" t="str">
        <f t="shared" ref="D12593:D12594" si="1919">HYPERLINK("https://12go.asia/en/travel/Tam-Coc-NinhBinh/7-Doi-Cung-Hue", "12Go Link")</f>
        <v>12Go Link</v>
      </c>
      <c r="E12593" s="3" t="s">
        <v>9633</v>
      </c>
      <c r="K12593" s="5"/>
    </row>
    <row r="12594">
      <c r="A12594" s="3" t="s">
        <v>9539</v>
      </c>
      <c r="B12594" s="3" t="s">
        <v>9502</v>
      </c>
      <c r="C12594" s="3" t="s">
        <v>10263</v>
      </c>
      <c r="D12594" s="4" t="str">
        <f t="shared" si="1919"/>
        <v>12Go Link</v>
      </c>
      <c r="E12594" s="3" t="s">
        <v>10204</v>
      </c>
      <c r="K12594" s="5"/>
    </row>
    <row r="12595">
      <c r="A12595" s="3" t="s">
        <v>9539</v>
      </c>
      <c r="B12595" s="3" t="s">
        <v>9502</v>
      </c>
      <c r="C12595" s="3" t="s">
        <v>10264</v>
      </c>
      <c r="D12595" s="4" t="str">
        <f t="shared" ref="D12595:D12596" si="1920">HYPERLINK("https://12go.asia/en/travel/Tam-Coc-NinhBinh/86-Nguyen-Sinh-Cung", "12Go Link")</f>
        <v>12Go Link</v>
      </c>
      <c r="E12595" s="3" t="s">
        <v>9633</v>
      </c>
      <c r="K12595" s="5"/>
    </row>
    <row r="12596">
      <c r="A12596" s="3" t="s">
        <v>9539</v>
      </c>
      <c r="B12596" s="3" t="s">
        <v>9502</v>
      </c>
      <c r="C12596" s="3" t="s">
        <v>10264</v>
      </c>
      <c r="D12596" s="4" t="str">
        <f t="shared" si="1920"/>
        <v>12Go Link</v>
      </c>
      <c r="E12596" s="3" t="s">
        <v>10204</v>
      </c>
      <c r="K12596" s="5"/>
    </row>
    <row r="12597">
      <c r="A12597" s="3" t="s">
        <v>9539</v>
      </c>
      <c r="B12597" s="3" t="s">
        <v>9502</v>
      </c>
      <c r="C12597" s="3" t="s">
        <v>10265</v>
      </c>
      <c r="D12597" s="4" t="str">
        <f t="shared" ref="D12597:D12598" si="1921">HYPERLINK("https://12go.asia/en/travel/Tam-Coc-NinhBinh/Hue-Northern-Bus-Station", "12Go Link")</f>
        <v>12Go Link</v>
      </c>
      <c r="E12597" s="3" t="s">
        <v>9633</v>
      </c>
      <c r="K12597" s="5"/>
    </row>
    <row r="12598">
      <c r="A12598" s="3" t="s">
        <v>9539</v>
      </c>
      <c r="B12598" s="3" t="s">
        <v>9502</v>
      </c>
      <c r="C12598" s="3" t="s">
        <v>10265</v>
      </c>
      <c r="D12598" s="4" t="str">
        <f t="shared" si="1921"/>
        <v>12Go Link</v>
      </c>
      <c r="E12598" s="3" t="s">
        <v>10204</v>
      </c>
      <c r="K12598" s="5"/>
    </row>
    <row r="12599">
      <c r="A12599" s="3" t="s">
        <v>9539</v>
      </c>
      <c r="B12599" s="3" t="s">
        <v>9502</v>
      </c>
      <c r="C12599" s="3" t="s">
        <v>10266</v>
      </c>
      <c r="D12599" s="4" t="str">
        <f t="shared" ref="D12599:D12600" si="1922">HYPERLINK("https://12go.asia/en/travel/Tam-Coc-NinhBinh/Hue-Railway-Station", "12Go Link")</f>
        <v>12Go Link</v>
      </c>
      <c r="E12599" s="3" t="s">
        <v>9633</v>
      </c>
      <c r="K12599" s="5"/>
    </row>
    <row r="12600">
      <c r="A12600" s="3" t="s">
        <v>9539</v>
      </c>
      <c r="B12600" s="3" t="s">
        <v>9502</v>
      </c>
      <c r="C12600" s="3" t="s">
        <v>10266</v>
      </c>
      <c r="D12600" s="4" t="str">
        <f t="shared" si="1922"/>
        <v>12Go Link</v>
      </c>
      <c r="E12600" s="3" t="s">
        <v>10204</v>
      </c>
      <c r="K12600" s="5"/>
    </row>
    <row r="12601">
      <c r="A12601" s="3" t="s">
        <v>9539</v>
      </c>
      <c r="B12601" s="3" t="s">
        <v>9502</v>
      </c>
      <c r="C12601" s="3" t="s">
        <v>10267</v>
      </c>
      <c r="D12601" s="4" t="str">
        <f t="shared" ref="D12601:D12602" si="1923">HYPERLINK("https://12go.asia/en/travel/Tam-Coc-NinhBinh/Nguyen-Hoang-Bus-Station", "12Go Link")</f>
        <v>12Go Link</v>
      </c>
      <c r="E12601" s="3" t="s">
        <v>9633</v>
      </c>
      <c r="K12601" s="5"/>
    </row>
    <row r="12602">
      <c r="A12602" s="3" t="s">
        <v>9539</v>
      </c>
      <c r="B12602" s="3" t="s">
        <v>9502</v>
      </c>
      <c r="C12602" s="3" t="s">
        <v>10267</v>
      </c>
      <c r="D12602" s="4" t="str">
        <f t="shared" si="1923"/>
        <v>12Go Link</v>
      </c>
      <c r="E12602" s="3" t="s">
        <v>10204</v>
      </c>
      <c r="K12602" s="5"/>
    </row>
    <row r="12603">
      <c r="A12603" s="3" t="s">
        <v>9539</v>
      </c>
      <c r="B12603" s="3" t="s">
        <v>9502</v>
      </c>
      <c r="C12603" s="3" t="s">
        <v>10268</v>
      </c>
      <c r="D12603" s="4" t="str">
        <f t="shared" ref="D12603:D12604" si="1924">HYPERLINK("https://12go.asia/en/travel/Tam-Coc-NinhBinh/Toa-Kham-Marina", "12Go Link")</f>
        <v>12Go Link</v>
      </c>
      <c r="E12603" s="3" t="s">
        <v>9633</v>
      </c>
      <c r="K12603" s="5"/>
    </row>
    <row r="12604">
      <c r="A12604" s="3" t="s">
        <v>9539</v>
      </c>
      <c r="B12604" s="3" t="s">
        <v>9502</v>
      </c>
      <c r="C12604" s="3" t="s">
        <v>10268</v>
      </c>
      <c r="D12604" s="4" t="str">
        <f t="shared" si="1924"/>
        <v>12Go Link</v>
      </c>
      <c r="E12604" s="3" t="s">
        <v>10204</v>
      </c>
      <c r="K12604" s="5"/>
    </row>
    <row r="12605">
      <c r="A12605" s="3" t="s">
        <v>9539</v>
      </c>
      <c r="B12605" s="3" t="s">
        <v>9561</v>
      </c>
      <c r="C12605" s="3" t="s">
        <v>10269</v>
      </c>
      <c r="D12605" s="4" t="str">
        <f t="shared" ref="D12605:D12607" si="1925">HYPERLINK("https://12go.asia/en/travel/Mikes-Travel-Agency/Central-Backpackers-Hostel-Phong-Nha", "12Go Link")</f>
        <v>12Go Link</v>
      </c>
      <c r="E12605" s="3" t="s">
        <v>9374</v>
      </c>
      <c r="K12605" s="5"/>
    </row>
    <row r="12606">
      <c r="A12606" s="3" t="s">
        <v>9539</v>
      </c>
      <c r="B12606" s="3" t="s">
        <v>9561</v>
      </c>
      <c r="C12606" s="3" t="s">
        <v>10269</v>
      </c>
      <c r="D12606" s="4" t="str">
        <f t="shared" si="1925"/>
        <v>12Go Link</v>
      </c>
      <c r="E12606" s="3" t="s">
        <v>9633</v>
      </c>
      <c r="K12606" s="5"/>
    </row>
    <row r="12607">
      <c r="A12607" s="3" t="s">
        <v>9539</v>
      </c>
      <c r="B12607" s="3" t="s">
        <v>9561</v>
      </c>
      <c r="C12607" s="3" t="s">
        <v>10269</v>
      </c>
      <c r="D12607" s="4" t="str">
        <f t="shared" si="1925"/>
        <v>12Go Link</v>
      </c>
      <c r="E12607" s="3" t="s">
        <v>10204</v>
      </c>
      <c r="K12607" s="5"/>
    </row>
    <row r="12608">
      <c r="A12608" s="3" t="s">
        <v>9539</v>
      </c>
      <c r="B12608" s="3" t="s">
        <v>9561</v>
      </c>
      <c r="C12608" s="3" t="s">
        <v>10270</v>
      </c>
      <c r="D12608" s="4" t="str">
        <f>HYPERLINK("https://12go.asia/en/travel/Mikes-Travel-Agency/Nam-Anh-Hotel", "12Go Link")</f>
        <v>12Go Link</v>
      </c>
      <c r="E12608" s="3" t="s">
        <v>9374</v>
      </c>
      <c r="K12608" s="5"/>
    </row>
    <row r="12609">
      <c r="A12609" s="3" t="s">
        <v>9539</v>
      </c>
      <c r="B12609" s="3" t="s">
        <v>9561</v>
      </c>
      <c r="C12609" s="3" t="s">
        <v>10271</v>
      </c>
      <c r="D12609" s="4" t="str">
        <f t="shared" ref="D12609:D12611" si="1926">HYPERLINK("https://12go.asia/en/travel/Mikes-Travel-Agency/Thien-Phu-Hostel", "12Go Link")</f>
        <v>12Go Link</v>
      </c>
      <c r="E12609" s="3" t="s">
        <v>9374</v>
      </c>
      <c r="K12609" s="5"/>
    </row>
    <row r="12610">
      <c r="A12610" s="3" t="s">
        <v>9539</v>
      </c>
      <c r="B12610" s="3" t="s">
        <v>9561</v>
      </c>
      <c r="C12610" s="3" t="s">
        <v>10271</v>
      </c>
      <c r="D12610" s="4" t="str">
        <f t="shared" si="1926"/>
        <v>12Go Link</v>
      </c>
      <c r="E12610" s="3" t="s">
        <v>9633</v>
      </c>
      <c r="K12610" s="5"/>
    </row>
    <row r="12611">
      <c r="A12611" s="3" t="s">
        <v>9539</v>
      </c>
      <c r="B12611" s="3" t="s">
        <v>9561</v>
      </c>
      <c r="C12611" s="3" t="s">
        <v>10271</v>
      </c>
      <c r="D12611" s="4" t="str">
        <f t="shared" si="1926"/>
        <v>12Go Link</v>
      </c>
      <c r="E12611" s="3" t="s">
        <v>10204</v>
      </c>
      <c r="K12611" s="5"/>
    </row>
    <row r="12612">
      <c r="A12612" s="3" t="s">
        <v>9539</v>
      </c>
      <c r="B12612" s="3" t="s">
        <v>9561</v>
      </c>
      <c r="C12612" s="3" t="s">
        <v>10272</v>
      </c>
      <c r="D12612" s="4" t="str">
        <f>HYPERLINK("https://12go.asia/en/travel/Mr-Khanh-Travel-Agency-Ninh-Binh/Central-Backpackers-Hostel-Phong-Nha", "12Go Link")</f>
        <v>12Go Link</v>
      </c>
      <c r="E12612" s="3" t="s">
        <v>9374</v>
      </c>
      <c r="K12612" s="5"/>
    </row>
    <row r="12613">
      <c r="A12613" s="3" t="s">
        <v>9539</v>
      </c>
      <c r="B12613" s="3" t="s">
        <v>9561</v>
      </c>
      <c r="C12613" s="3" t="s">
        <v>10273</v>
      </c>
      <c r="D12613" s="4" t="str">
        <f>HYPERLINK("https://12go.asia/en/travel/Mr-Khanh-Travel-Agency-Ninh-Binh/Nam-Anh-Hotel", "12Go Link")</f>
        <v>12Go Link</v>
      </c>
      <c r="E12613" s="3" t="s">
        <v>9374</v>
      </c>
      <c r="K12613" s="5"/>
    </row>
    <row r="12614">
      <c r="A12614" s="3" t="s">
        <v>9539</v>
      </c>
      <c r="B12614" s="3" t="s">
        <v>9561</v>
      </c>
      <c r="C12614" s="3" t="s">
        <v>10274</v>
      </c>
      <c r="D12614" s="4" t="str">
        <f>HYPERLINK("https://12go.asia/en/travel/Mr-Khanh-Travel-Agency-Ninh-Binh/Thien-Phu-Hostel", "12Go Link")</f>
        <v>12Go Link</v>
      </c>
      <c r="E12614" s="3" t="s">
        <v>9374</v>
      </c>
      <c r="K12614" s="5"/>
    </row>
    <row r="12615">
      <c r="A12615" s="3" t="s">
        <v>9539</v>
      </c>
      <c r="B12615" s="3" t="s">
        <v>9561</v>
      </c>
      <c r="C12615" s="3" t="s">
        <v>10275</v>
      </c>
      <c r="D12615" s="4" t="str">
        <f>HYPERLINK("https://12go.asia/en/travel/Ninh-Binh-Central-Hotel/Thien-Phu-Hostel", "12Go Link")</f>
        <v>12Go Link</v>
      </c>
      <c r="E12615" s="3" t="s">
        <v>9474</v>
      </c>
      <c r="K12615" s="5"/>
    </row>
    <row r="12616">
      <c r="A12616" s="3" t="s">
        <v>9539</v>
      </c>
      <c r="B12616" s="3" t="s">
        <v>9561</v>
      </c>
      <c r="C12616" s="3" t="s">
        <v>10276</v>
      </c>
      <c r="D12616" s="4" t="str">
        <f>HYPERLINK("https://12go.asia/en/travel/Ninh-Binh-Luxury-SSB/Thien-Phu-Hostel", "12Go Link")</f>
        <v>12Go Link</v>
      </c>
      <c r="E12616" s="3" t="s">
        <v>9633</v>
      </c>
      <c r="K12616" s="5"/>
    </row>
    <row r="12617">
      <c r="A12617" s="3" t="s">
        <v>9539</v>
      </c>
      <c r="B12617" s="3" t="s">
        <v>9561</v>
      </c>
      <c r="C12617" s="3" t="s">
        <v>10277</v>
      </c>
      <c r="D12617" s="4" t="str">
        <f>HYPERLINK("https://12go.asia/en/travel/Ninh-Binh-SSB/Thien-Phu-Hostel", "12Go Link")</f>
        <v>12Go Link</v>
      </c>
      <c r="E12617" s="3" t="s">
        <v>9633</v>
      </c>
      <c r="K12617" s="5"/>
    </row>
    <row r="12618">
      <c r="A12618" s="3" t="s">
        <v>9539</v>
      </c>
      <c r="B12618" s="3" t="s">
        <v>9561</v>
      </c>
      <c r="C12618" s="3" t="s">
        <v>10278</v>
      </c>
      <c r="D12618" s="4" t="str">
        <f t="shared" ref="D12618:D12619" si="1927">HYPERLINK("https://12go.asia/en/travel/Tam-Coc-NinhBinh/Central-Backpackers-Hostel-Phong-Nha", "12Go Link")</f>
        <v>12Go Link</v>
      </c>
      <c r="E12618" s="3" t="s">
        <v>9633</v>
      </c>
      <c r="K12618" s="5"/>
    </row>
    <row r="12619">
      <c r="A12619" s="3" t="s">
        <v>9539</v>
      </c>
      <c r="B12619" s="3" t="s">
        <v>9561</v>
      </c>
      <c r="C12619" s="3" t="s">
        <v>10278</v>
      </c>
      <c r="D12619" s="4" t="str">
        <f t="shared" si="1927"/>
        <v>12Go Link</v>
      </c>
      <c r="E12619" s="3" t="s">
        <v>10204</v>
      </c>
      <c r="K12619" s="5"/>
    </row>
    <row r="12620">
      <c r="A12620" s="3" t="s">
        <v>9539</v>
      </c>
      <c r="B12620" s="3" t="s">
        <v>9561</v>
      </c>
      <c r="C12620" s="3" t="s">
        <v>10279</v>
      </c>
      <c r="D12620" s="4" t="str">
        <f t="shared" ref="D12620:D12621" si="1928">HYPERLINK("https://12go.asia/en/travel/Tam-Coc-NinhBinh/Nam-Anh-Hotel", "12Go Link")</f>
        <v>12Go Link</v>
      </c>
      <c r="E12620" s="3" t="s">
        <v>9633</v>
      </c>
      <c r="K12620" s="5"/>
    </row>
    <row r="12621">
      <c r="A12621" s="3" t="s">
        <v>9539</v>
      </c>
      <c r="B12621" s="3" t="s">
        <v>9561</v>
      </c>
      <c r="C12621" s="3" t="s">
        <v>10279</v>
      </c>
      <c r="D12621" s="4" t="str">
        <f t="shared" si="1928"/>
        <v>12Go Link</v>
      </c>
      <c r="E12621" s="3" t="s">
        <v>10204</v>
      </c>
      <c r="K12621" s="5"/>
    </row>
    <row r="12622">
      <c r="A12622" s="3" t="s">
        <v>9539</v>
      </c>
      <c r="B12622" s="3" t="s">
        <v>9561</v>
      </c>
      <c r="C12622" s="3" t="s">
        <v>10280</v>
      </c>
      <c r="D12622" s="4" t="str">
        <f t="shared" ref="D12622:D12623" si="1929">HYPERLINK("https://12go.asia/en/travel/Tam-Coc-NinhBinh/Thien-Phu-Hostel", "12Go Link")</f>
        <v>12Go Link</v>
      </c>
      <c r="E12622" s="3" t="s">
        <v>9633</v>
      </c>
      <c r="K12622" s="5"/>
    </row>
    <row r="12623">
      <c r="A12623" s="3" t="s">
        <v>9539</v>
      </c>
      <c r="B12623" s="3" t="s">
        <v>9561</v>
      </c>
      <c r="C12623" s="3" t="s">
        <v>10280</v>
      </c>
      <c r="D12623" s="4" t="str">
        <f t="shared" si="1929"/>
        <v>12Go Link</v>
      </c>
      <c r="E12623" s="3" t="s">
        <v>10204</v>
      </c>
      <c r="K12623" s="5"/>
    </row>
    <row r="12624">
      <c r="A12624" s="3" t="s">
        <v>9539</v>
      </c>
      <c r="B12624" s="3" t="s">
        <v>9573</v>
      </c>
      <c r="C12624" s="3" t="s">
        <v>10281</v>
      </c>
      <c r="D12624" s="4" t="str">
        <f>HYPERLINK("https://12go.asia/en/travel/Break-Time-Coffee/18A-Anh-Dao", "12Go Link")</f>
        <v>12Go Link</v>
      </c>
      <c r="E12624" s="3" t="s">
        <v>10222</v>
      </c>
      <c r="K12624" s="5"/>
    </row>
    <row r="12625">
      <c r="A12625" s="3" t="s">
        <v>9539</v>
      </c>
      <c r="B12625" s="3" t="s">
        <v>9573</v>
      </c>
      <c r="C12625" s="3" t="s">
        <v>10282</v>
      </c>
      <c r="D12625" s="4" t="str">
        <f>HYPERLINK("https://12go.asia/en/travel/Nha-Hang-0km-Tam-Coc/Halong-SB1", "12Go Link")</f>
        <v>12Go Link</v>
      </c>
      <c r="E12625" s="3" t="s">
        <v>9831</v>
      </c>
      <c r="K12625" s="5"/>
    </row>
    <row r="12626">
      <c r="A12626" s="3" t="s">
        <v>9539</v>
      </c>
      <c r="B12626" s="3" t="s">
        <v>9573</v>
      </c>
      <c r="C12626" s="3" t="s">
        <v>10283</v>
      </c>
      <c r="D12626" s="4" t="str">
        <f>HYPERLINK("https://12go.asia/en/travel/Ninh-Binh-Viet-Nam/Halong-SB1", "12Go Link")</f>
        <v>12Go Link</v>
      </c>
      <c r="E12626" s="3" t="s">
        <v>9632</v>
      </c>
      <c r="K12626" s="5"/>
    </row>
    <row r="12627">
      <c r="A12627" s="3" t="s">
        <v>9539</v>
      </c>
      <c r="B12627" s="3" t="s">
        <v>9573</v>
      </c>
      <c r="C12627" s="3" t="s">
        <v>10284</v>
      </c>
      <c r="D12627" s="4" t="str">
        <f>HYPERLINK("https://12go.asia/en/travel/Trang-An-Boat-Station/Halong-SB1", "12Go Link")</f>
        <v>12Go Link</v>
      </c>
      <c r="E12627" s="3" t="s">
        <v>9831</v>
      </c>
      <c r="K12627" s="5"/>
    </row>
    <row r="12628">
      <c r="A12628" s="3" t="s">
        <v>9539</v>
      </c>
      <c r="B12628" s="3" t="s">
        <v>9691</v>
      </c>
      <c r="C12628" s="3" t="s">
        <v>10285</v>
      </c>
      <c r="D12628" s="4" t="str">
        <f>HYPERLINK("https://12go.asia/en/travel/02-Dao-Duy-Tu/Sapa-SSB", "12Go Link")</f>
        <v>12Go Link</v>
      </c>
      <c r="E12628" s="3" t="s">
        <v>9648</v>
      </c>
      <c r="K12628" s="5"/>
    </row>
    <row r="12629">
      <c r="A12629" s="3" t="s">
        <v>9539</v>
      </c>
      <c r="B12629" s="3" t="s">
        <v>9691</v>
      </c>
      <c r="C12629" s="3" t="s">
        <v>10286</v>
      </c>
      <c r="D12629" s="4" t="str">
        <f>HYPERLINK("https://12go.asia/en/travel/Ninh-Binh-limousine/Sapa-SSB", "12Go Link")</f>
        <v>12Go Link</v>
      </c>
      <c r="E12629" s="3" t="s">
        <v>9648</v>
      </c>
      <c r="K12629" s="5"/>
    </row>
    <row r="12630">
      <c r="A12630" s="3" t="s">
        <v>9539</v>
      </c>
      <c r="B12630" s="3" t="s">
        <v>9691</v>
      </c>
      <c r="C12630" s="3" t="s">
        <v>10287</v>
      </c>
      <c r="D12630" s="4" t="str">
        <f>HYPERLINK("https://12go.asia/en/travel/Ninh-Binh-Viet-Nam/Sapa-SSB", "12Go Link")</f>
        <v>12Go Link</v>
      </c>
      <c r="E12630" s="3" t="s">
        <v>9648</v>
      </c>
      <c r="K12630" s="5"/>
    </row>
    <row r="12631">
      <c r="A12631" s="3" t="s">
        <v>9539</v>
      </c>
      <c r="B12631" s="3" t="s">
        <v>9691</v>
      </c>
      <c r="C12631" s="3" t="s">
        <v>10288</v>
      </c>
      <c r="D12631" s="4" t="str">
        <f>HYPERLINK("https://12go.asia/en/travel/SDT-Ninh-Binh-Office/697-Duong-Dien-Bien-Phu", "12Go Link")</f>
        <v>12Go Link</v>
      </c>
      <c r="E12631" s="3" t="s">
        <v>10289</v>
      </c>
      <c r="K12631" s="5"/>
    </row>
    <row r="12632">
      <c r="A12632" s="3" t="s">
        <v>9539</v>
      </c>
      <c r="B12632" s="3" t="s">
        <v>9691</v>
      </c>
      <c r="C12632" s="3" t="s">
        <v>10290</v>
      </c>
      <c r="D12632" s="4" t="str">
        <f>HYPERLINK("https://12go.asia/en/travel/SDT-Ninh-Binh-Office/Sapa-Garden-Bungalow", "12Go Link")</f>
        <v>12Go Link</v>
      </c>
      <c r="E12632" s="3" t="s">
        <v>10289</v>
      </c>
      <c r="K12632" s="5"/>
    </row>
    <row r="12633">
      <c r="A12633" s="3" t="s">
        <v>9644</v>
      </c>
      <c r="B12633" s="3" t="s">
        <v>9605</v>
      </c>
      <c r="C12633" s="3" t="s">
        <v>10291</v>
      </c>
      <c r="D12633" s="4" t="str">
        <f>HYPERLINK("https://12go.asia/en/travel/Noi-Bai-Airport/Ha-Giang-Hostel", "12Go Link")</f>
        <v>12Go Link</v>
      </c>
      <c r="E12633" s="3" t="s">
        <v>9474</v>
      </c>
      <c r="K12633" s="5"/>
    </row>
    <row r="12634">
      <c r="A12634" s="3" t="s">
        <v>9644</v>
      </c>
      <c r="B12634" s="3" t="s">
        <v>9605</v>
      </c>
      <c r="C12634" s="3" t="s">
        <v>10292</v>
      </c>
      <c r="D12634" s="4" t="str">
        <f>HYPERLINK("https://12go.asia/en/travel/Noibai-Airport/Hagiang-Hostel-AK-Group-Tour", "12Go Link")</f>
        <v>12Go Link</v>
      </c>
      <c r="E12634" s="3" t="s">
        <v>9533</v>
      </c>
      <c r="K12634" s="5"/>
    </row>
    <row r="12635">
      <c r="A12635" s="3" t="s">
        <v>9644</v>
      </c>
      <c r="B12635" s="3" t="s">
        <v>9466</v>
      </c>
      <c r="C12635" s="3" t="s">
        <v>10293</v>
      </c>
      <c r="D12635" s="4" t="str">
        <f>HYPERLINK("https://12go.asia/en/travel/Noi-bai-airport-Terminal-2/Truly-Hagiang-Bus-stop-44-Hang-giay", "12Go Link")</f>
        <v>12Go Link</v>
      </c>
      <c r="E12635" s="3" t="s">
        <v>10294</v>
      </c>
      <c r="K12635" s="5"/>
    </row>
    <row r="12636">
      <c r="A12636" s="3" t="s">
        <v>9644</v>
      </c>
      <c r="B12636" s="3" t="s">
        <v>9691</v>
      </c>
      <c r="C12636" s="3" t="s">
        <v>10295</v>
      </c>
      <c r="D12636" s="4" t="str">
        <f>HYPERLINK("https://12go.asia/en/travel/Noi-Bai-Airport/23-Le-Thanh-Street", "12Go Link")</f>
        <v>12Go Link</v>
      </c>
      <c r="E12636" s="3" t="s">
        <v>9474</v>
      </c>
      <c r="K12636" s="5"/>
    </row>
    <row r="12637">
      <c r="A12637" s="3" t="s">
        <v>9644</v>
      </c>
      <c r="B12637" s="3" t="s">
        <v>9691</v>
      </c>
      <c r="C12637" s="3" t="s">
        <v>10296</v>
      </c>
      <c r="D12637" s="4" t="str">
        <f>HYPERLINK("https://12go.asia/en/travel/Noi-Bai-Airport/582-Duong-Dien-Bien-Phu", "12Go Link")</f>
        <v>12Go Link</v>
      </c>
      <c r="E12637" s="3" t="s">
        <v>9474</v>
      </c>
      <c r="K12637" s="5"/>
    </row>
    <row r="12638">
      <c r="A12638" s="3" t="s">
        <v>9561</v>
      </c>
      <c r="B12638" s="3" t="s">
        <v>9447</v>
      </c>
      <c r="C12638" s="3" t="s">
        <v>10297</v>
      </c>
      <c r="D12638" s="4" t="str">
        <f>HYPERLINK("https://12go.asia/en/travel/Nam-Anh-Hotel/41-February-3rd-Street", "12Go Link")</f>
        <v>12Go Link</v>
      </c>
      <c r="E12638" s="3" t="s">
        <v>9374</v>
      </c>
      <c r="K12638" s="5"/>
    </row>
    <row r="12639">
      <c r="A12639" s="3" t="s">
        <v>9561</v>
      </c>
      <c r="B12639" s="3" t="s">
        <v>9447</v>
      </c>
      <c r="C12639" s="3" t="s">
        <v>10298</v>
      </c>
      <c r="D12639" s="4" t="str">
        <f>HYPERLINK("https://12go.asia/en/travel/SDT-Phong-Nha-Office/SDT-Da-Nang-Office", "12Go Link")</f>
        <v>12Go Link</v>
      </c>
      <c r="E12639" s="3" t="s">
        <v>9465</v>
      </c>
      <c r="K12639" s="5"/>
    </row>
    <row r="12640">
      <c r="A12640" s="3" t="s">
        <v>9561</v>
      </c>
      <c r="B12640" s="3" t="s">
        <v>9586</v>
      </c>
      <c r="C12640" s="3" t="s">
        <v>10299</v>
      </c>
      <c r="D12640" s="4" t="str">
        <f>HYPERLINK("https://12go.asia/en/travel/Central-Backpackers-Hostel-Phong-Nha/217-Mot-Thang-Tu", "12Go Link")</f>
        <v>12Go Link</v>
      </c>
      <c r="E12640" s="3" t="s">
        <v>9412</v>
      </c>
      <c r="K12640" s="5"/>
    </row>
    <row r="12641">
      <c r="A12641" s="3" t="s">
        <v>9561</v>
      </c>
      <c r="B12641" s="3" t="s">
        <v>9466</v>
      </c>
      <c r="C12641" s="3" t="s">
        <v>10300</v>
      </c>
      <c r="D12641" s="4" t="str">
        <f>HYPERLINK("https://12go.asia/en/travel/Central-Backpackers-Hostel-Phong-Nha/12-Pham-Van-Dong", "12Go Link")</f>
        <v>12Go Link</v>
      </c>
      <c r="E12641" s="3" t="s">
        <v>9449</v>
      </c>
      <c r="K12641" s="5"/>
    </row>
    <row r="12642">
      <c r="A12642" s="3" t="s">
        <v>9561</v>
      </c>
      <c r="B12642" s="3" t="s">
        <v>9466</v>
      </c>
      <c r="C12642" s="3" t="s">
        <v>10301</v>
      </c>
      <c r="D12642" s="4" t="str">
        <f t="shared" ref="D12642:D12643" si="1930">HYPERLINK("https://12go.asia/en/travel/Central-Backpackers-Hostel-Phong-Nha/My-Dinh-Bus-Station", "12Go Link")</f>
        <v>12Go Link</v>
      </c>
      <c r="E12642" s="3" t="s">
        <v>9374</v>
      </c>
      <c r="K12642" s="5"/>
    </row>
    <row r="12643">
      <c r="A12643" s="3" t="s">
        <v>9561</v>
      </c>
      <c r="B12643" s="3" t="s">
        <v>9466</v>
      </c>
      <c r="C12643" s="3" t="s">
        <v>10301</v>
      </c>
      <c r="D12643" s="4" t="str">
        <f t="shared" si="1930"/>
        <v>12Go Link</v>
      </c>
      <c r="E12643" s="3" t="s">
        <v>9470</v>
      </c>
      <c r="K12643" s="5"/>
    </row>
    <row r="12644">
      <c r="A12644" s="3" t="s">
        <v>9561</v>
      </c>
      <c r="B12644" s="3" t="s">
        <v>9466</v>
      </c>
      <c r="C12644" s="3" t="s">
        <v>10302</v>
      </c>
      <c r="D12644" s="4" t="str">
        <f>HYPERLINK("https://12go.asia/en/travel/Nam-Anh-Hotel/1-Nguyen-Hoang-My-Dinh", "12Go Link")</f>
        <v>12Go Link</v>
      </c>
      <c r="E12644" s="3" t="s">
        <v>9374</v>
      </c>
      <c r="K12644" s="5"/>
    </row>
    <row r="12645">
      <c r="A12645" s="3" t="s">
        <v>9561</v>
      </c>
      <c r="B12645" s="3" t="s">
        <v>9466</v>
      </c>
      <c r="C12645" s="3" t="s">
        <v>10303</v>
      </c>
      <c r="D12645" s="4" t="str">
        <f t="shared" ref="D12645:D12646" si="1931">HYPERLINK("https://12go.asia/en/travel/Nam-Anh-Hotel/114-Tran-Nhat-Duat-Street", "12Go Link")</f>
        <v>12Go Link</v>
      </c>
      <c r="E12645" s="3" t="s">
        <v>9374</v>
      </c>
      <c r="K12645" s="5"/>
    </row>
    <row r="12646">
      <c r="A12646" s="3" t="s">
        <v>9561</v>
      </c>
      <c r="B12646" s="3" t="s">
        <v>9466</v>
      </c>
      <c r="C12646" s="3" t="s">
        <v>10303</v>
      </c>
      <c r="D12646" s="4" t="str">
        <f t="shared" si="1931"/>
        <v>12Go Link</v>
      </c>
      <c r="E12646" s="3" t="s">
        <v>9470</v>
      </c>
      <c r="K12646" s="5"/>
    </row>
    <row r="12647">
      <c r="A12647" s="3" t="s">
        <v>9561</v>
      </c>
      <c r="B12647" s="3" t="s">
        <v>9466</v>
      </c>
      <c r="C12647" s="3" t="s">
        <v>10304</v>
      </c>
      <c r="D12647" s="4" t="str">
        <f t="shared" ref="D12647:D12648" si="1932">HYPERLINK("https://12go.asia/en/travel/Nam-Anh-Hotel/9B-Cho-Gao", "12Go Link")</f>
        <v>12Go Link</v>
      </c>
      <c r="E12647" s="3" t="s">
        <v>9374</v>
      </c>
      <c r="K12647" s="5"/>
    </row>
    <row r="12648">
      <c r="A12648" s="3" t="s">
        <v>9561</v>
      </c>
      <c r="B12648" s="3" t="s">
        <v>9466</v>
      </c>
      <c r="C12648" s="3" t="s">
        <v>10304</v>
      </c>
      <c r="D12648" s="4" t="str">
        <f t="shared" si="1932"/>
        <v>12Go Link</v>
      </c>
      <c r="E12648" s="3" t="s">
        <v>9470</v>
      </c>
      <c r="K12648" s="5"/>
    </row>
    <row r="12649">
      <c r="A12649" s="3" t="s">
        <v>9561</v>
      </c>
      <c r="B12649" s="3" t="s">
        <v>9466</v>
      </c>
      <c r="C12649" s="3" t="s">
        <v>10305</v>
      </c>
      <c r="D12649" s="4" t="str">
        <f t="shared" ref="D12649:D12650" si="1933">HYPERLINK("https://12go.asia/en/travel/Nam-Anh-Hotel/My-Dinh-Bus-Station", "12Go Link")</f>
        <v>12Go Link</v>
      </c>
      <c r="E12649" s="3" t="s">
        <v>9374</v>
      </c>
      <c r="K12649" s="5"/>
    </row>
    <row r="12650">
      <c r="A12650" s="3" t="s">
        <v>9561</v>
      </c>
      <c r="B12650" s="3" t="s">
        <v>9466</v>
      </c>
      <c r="C12650" s="3" t="s">
        <v>10305</v>
      </c>
      <c r="D12650" s="4" t="str">
        <f t="shared" si="1933"/>
        <v>12Go Link</v>
      </c>
      <c r="E12650" s="3" t="s">
        <v>9470</v>
      </c>
      <c r="K12650" s="5"/>
    </row>
    <row r="12651">
      <c r="A12651" s="3" t="s">
        <v>9561</v>
      </c>
      <c r="B12651" s="3" t="s">
        <v>9466</v>
      </c>
      <c r="C12651" s="3" t="s">
        <v>10306</v>
      </c>
      <c r="D12651" s="4" t="str">
        <f>HYPERLINK("https://12go.asia/en/travel/Tbus-Phongnha/459-Tran-Khat-Chan", "12Go Link")</f>
        <v>12Go Link</v>
      </c>
      <c r="E12651" s="3" t="s">
        <v>9733</v>
      </c>
      <c r="K12651" s="5"/>
    </row>
    <row r="12652">
      <c r="A12652" s="3" t="s">
        <v>9561</v>
      </c>
      <c r="B12652" s="3" t="s">
        <v>9466</v>
      </c>
      <c r="C12652" s="3" t="s">
        <v>10307</v>
      </c>
      <c r="D12652" s="4" t="str">
        <f>HYPERLINK("https://12go.asia/en/travel/Thien-Phu-Hostel/12-Pham-Van-Dong", "12Go Link")</f>
        <v>12Go Link</v>
      </c>
      <c r="E12652" s="3" t="s">
        <v>9449</v>
      </c>
      <c r="K12652" s="5"/>
    </row>
    <row r="12653">
      <c r="A12653" s="3" t="s">
        <v>9561</v>
      </c>
      <c r="B12653" s="3" t="s">
        <v>9466</v>
      </c>
      <c r="C12653" s="3" t="s">
        <v>10308</v>
      </c>
      <c r="D12653" s="4" t="str">
        <f>HYPERLINK("https://12go.asia/en/travel/Thien-Phu-Hostel/160-Tran-Vy", "12Go Link")</f>
        <v>12Go Link</v>
      </c>
      <c r="E12653" s="3" t="s">
        <v>9733</v>
      </c>
      <c r="K12653" s="5"/>
    </row>
    <row r="12654">
      <c r="A12654" s="3" t="s">
        <v>9561</v>
      </c>
      <c r="B12654" s="3" t="s">
        <v>9466</v>
      </c>
      <c r="C12654" s="3" t="s">
        <v>10309</v>
      </c>
      <c r="D12654" s="4" t="str">
        <f t="shared" ref="D12654:D12655" si="1934">HYPERLINK("https://12go.asia/en/travel/Thien-Phu-Hostel/459-Tran-Khat-Chan", "12Go Link")</f>
        <v>12Go Link</v>
      </c>
      <c r="E12654" s="3" t="s">
        <v>9474</v>
      </c>
      <c r="K12654" s="5"/>
    </row>
    <row r="12655">
      <c r="A12655" s="3" t="s">
        <v>9561</v>
      </c>
      <c r="B12655" s="3" t="s">
        <v>9466</v>
      </c>
      <c r="C12655" s="3" t="s">
        <v>10309</v>
      </c>
      <c r="D12655" s="4" t="str">
        <f t="shared" si="1934"/>
        <v>12Go Link</v>
      </c>
      <c r="E12655" s="3" t="s">
        <v>9733</v>
      </c>
      <c r="K12655" s="5"/>
    </row>
    <row r="12656">
      <c r="A12656" s="3" t="s">
        <v>9561</v>
      </c>
      <c r="B12656" s="3" t="s">
        <v>9466</v>
      </c>
      <c r="C12656" s="3" t="s">
        <v>10310</v>
      </c>
      <c r="D12656" s="4" t="str">
        <f>HYPERLINK("https://12go.asia/en/travel/Thien-Phu-Hostel/Tbus-Hanoi-Office", "12Go Link")</f>
        <v>12Go Link</v>
      </c>
      <c r="E12656" s="3" t="s">
        <v>9733</v>
      </c>
      <c r="K12656" s="5"/>
    </row>
    <row r="12657">
      <c r="A12657" s="3" t="s">
        <v>9561</v>
      </c>
      <c r="B12657" s="3" t="s">
        <v>9466</v>
      </c>
      <c r="C12657" s="3" t="s">
        <v>10311</v>
      </c>
      <c r="D12657" s="4" t="str">
        <f>HYPERLINK("https://12go.asia/en/travel/Thien-Phu-Hostel/Tbus-Office-Cho-Gao", "12Go Link")</f>
        <v>12Go Link</v>
      </c>
      <c r="E12657" s="3" t="s">
        <v>9733</v>
      </c>
      <c r="K12657" s="5"/>
    </row>
    <row r="12658">
      <c r="A12658" s="3" t="s">
        <v>9561</v>
      </c>
      <c r="B12658" s="3" t="s">
        <v>9487</v>
      </c>
      <c r="C12658" s="3" t="s">
        <v>10312</v>
      </c>
      <c r="D12658" s="4" t="str">
        <f>HYPERLINK("https://12go.asia/en/travel/Nam-Anh-Hotel/105-Ton-Duc-Thang", "12Go Link")</f>
        <v>12Go Link</v>
      </c>
      <c r="E12658" s="3" t="s">
        <v>9374</v>
      </c>
      <c r="K12658" s="5"/>
    </row>
    <row r="12659">
      <c r="A12659" s="3" t="s">
        <v>9561</v>
      </c>
      <c r="B12659" s="3" t="s">
        <v>9487</v>
      </c>
      <c r="C12659" s="3" t="s">
        <v>10313</v>
      </c>
      <c r="D12659" s="4" t="str">
        <f>HYPERLINK("https://12go.asia/en/travel/Nam-Anh-Hotel/23-Nguyen-Tat-Thanh", "12Go Link")</f>
        <v>12Go Link</v>
      </c>
      <c r="E12659" s="3" t="s">
        <v>9374</v>
      </c>
      <c r="K12659" s="5"/>
    </row>
    <row r="12660">
      <c r="A12660" s="3" t="s">
        <v>9561</v>
      </c>
      <c r="B12660" s="3" t="s">
        <v>9487</v>
      </c>
      <c r="C12660" s="3" t="s">
        <v>10314</v>
      </c>
      <c r="D12660" s="4" t="str">
        <f>HYPERLINK("https://12go.asia/en/travel/SDT-Phong-Nha-Office/Pool-Side-Villa", "12Go Link")</f>
        <v>12Go Link</v>
      </c>
      <c r="E12660" s="3" t="s">
        <v>9591</v>
      </c>
      <c r="K12660" s="5"/>
    </row>
    <row r="12661">
      <c r="A12661" s="3" t="s">
        <v>9561</v>
      </c>
      <c r="B12661" s="3" t="s">
        <v>9502</v>
      </c>
      <c r="C12661" s="3" t="s">
        <v>10315</v>
      </c>
      <c r="D12661" s="4" t="str">
        <f>HYPERLINK("https://12go.asia/en/travel/Nam-Anh-Hotel/38-Le-Loi", "12Go Link")</f>
        <v>12Go Link</v>
      </c>
      <c r="E12661" s="3" t="s">
        <v>9374</v>
      </c>
      <c r="K12661" s="5"/>
    </row>
    <row r="12662">
      <c r="A12662" s="3" t="s">
        <v>9561</v>
      </c>
      <c r="B12662" s="3" t="s">
        <v>9502</v>
      </c>
      <c r="C12662" s="3" t="s">
        <v>10316</v>
      </c>
      <c r="D12662" s="4" t="str">
        <f>HYPERLINK("https://12go.asia/en/travel/Nam-Anh-Hotel/7-Doi-Cung-Hue", "12Go Link")</f>
        <v>12Go Link</v>
      </c>
      <c r="E12662" s="3" t="s">
        <v>9374</v>
      </c>
      <c r="K12662" s="5"/>
    </row>
    <row r="12663">
      <c r="A12663" s="3" t="s">
        <v>9561</v>
      </c>
      <c r="B12663" s="3" t="s">
        <v>9502</v>
      </c>
      <c r="C12663" s="3" t="s">
        <v>10317</v>
      </c>
      <c r="D12663" s="4" t="str">
        <f>HYPERLINK("https://12go.asia/en/travel/Nam-Anh-Hotel/Benly-Coffee", "12Go Link")</f>
        <v>12Go Link</v>
      </c>
      <c r="E12663" s="3" t="s">
        <v>9374</v>
      </c>
      <c r="K12663" s="5"/>
    </row>
    <row r="12664">
      <c r="A12664" s="3" t="s">
        <v>9561</v>
      </c>
      <c r="B12664" s="3" t="s">
        <v>9502</v>
      </c>
      <c r="C12664" s="3" t="s">
        <v>10318</v>
      </c>
      <c r="D12664" s="4" t="str">
        <f>HYPERLINK("https://12go.asia/en/travel/Nam-Anh-Hotel/Hue-Northern-Bus-Station", "12Go Link")</f>
        <v>12Go Link</v>
      </c>
      <c r="E12664" s="3" t="s">
        <v>9374</v>
      </c>
      <c r="K12664" s="5"/>
    </row>
    <row r="12665">
      <c r="A12665" s="3" t="s">
        <v>9561</v>
      </c>
      <c r="B12665" s="3" t="s">
        <v>9502</v>
      </c>
      <c r="C12665" s="3" t="s">
        <v>10319</v>
      </c>
      <c r="D12665" s="4" t="str">
        <f>HYPERLINK("https://12go.asia/en/travel/SDT-Phong-Nha-Office/Gas-Station-24", "12Go Link")</f>
        <v>12Go Link</v>
      </c>
      <c r="E12665" s="3" t="s">
        <v>9465</v>
      </c>
      <c r="K12665" s="5"/>
    </row>
    <row r="12666">
      <c r="A12666" s="3" t="s">
        <v>9561</v>
      </c>
      <c r="B12666" s="3" t="s">
        <v>9539</v>
      </c>
      <c r="C12666" s="3" t="s">
        <v>10320</v>
      </c>
      <c r="D12666" s="4" t="str">
        <f>HYPERLINK("https://12go.asia/en/travel/Central-Backpackers-Hostel-Phong-Nha/Mikes-Travel-Agency", "12Go Link")</f>
        <v>12Go Link</v>
      </c>
      <c r="E12666" s="3" t="s">
        <v>9449</v>
      </c>
      <c r="K12666" s="5"/>
    </row>
    <row r="12667">
      <c r="A12667" s="3" t="s">
        <v>9561</v>
      </c>
      <c r="B12667" s="3" t="s">
        <v>9539</v>
      </c>
      <c r="C12667" s="3" t="s">
        <v>10321</v>
      </c>
      <c r="D12667" s="4" t="str">
        <f>HYPERLINK("https://12go.asia/en/travel/Central-Backpackers-Hostel-Phong-Nha/Ninh-Phong-Ninh-Binh", "12Go Link")</f>
        <v>12Go Link</v>
      </c>
      <c r="E12667" s="3" t="s">
        <v>9449</v>
      </c>
      <c r="K12667" s="5"/>
    </row>
    <row r="12668">
      <c r="A12668" s="3" t="s">
        <v>9561</v>
      </c>
      <c r="B12668" s="3" t="s">
        <v>9539</v>
      </c>
      <c r="C12668" s="3" t="s">
        <v>10322</v>
      </c>
      <c r="D12668" s="4" t="str">
        <f>HYPERLINK("https://12go.asia/en/travel/Central-Backpackers-Hostel-Phong-Nha/Tam-Coc-NinhBinh", "12Go Link")</f>
        <v>12Go Link</v>
      </c>
      <c r="E12668" s="3" t="s">
        <v>9449</v>
      </c>
      <c r="K12668" s="5"/>
    </row>
    <row r="12669">
      <c r="A12669" s="3" t="s">
        <v>9561</v>
      </c>
      <c r="B12669" s="3" t="s">
        <v>9539</v>
      </c>
      <c r="C12669" s="3" t="s">
        <v>10323</v>
      </c>
      <c r="D12669" s="4" t="str">
        <f t="shared" ref="D12669:D12670" si="1935">HYPERLINK("https://12go.asia/en/travel/Nam-Anh-Hotel/Ben-Do-Tam-Coc", "12Go Link")</f>
        <v>12Go Link</v>
      </c>
      <c r="E12669" s="3" t="s">
        <v>9374</v>
      </c>
      <c r="K12669" s="5"/>
    </row>
    <row r="12670">
      <c r="A12670" s="3" t="s">
        <v>9561</v>
      </c>
      <c r="B12670" s="3" t="s">
        <v>9539</v>
      </c>
      <c r="C12670" s="3" t="s">
        <v>10323</v>
      </c>
      <c r="D12670" s="4" t="str">
        <f t="shared" si="1935"/>
        <v>12Go Link</v>
      </c>
      <c r="E12670" s="3" t="s">
        <v>9470</v>
      </c>
      <c r="K12670" s="5"/>
    </row>
    <row r="12671">
      <c r="A12671" s="3" t="s">
        <v>9561</v>
      </c>
      <c r="B12671" s="3" t="s">
        <v>9539</v>
      </c>
      <c r="C12671" s="3" t="s">
        <v>10324</v>
      </c>
      <c r="D12671" s="4" t="str">
        <f t="shared" ref="D12671:D12672" si="1936">HYPERLINK("https://12go.asia/en/travel/Nam-Anh-Hotel/Mikes-Travel-Agency", "12Go Link")</f>
        <v>12Go Link</v>
      </c>
      <c r="E12671" s="3" t="s">
        <v>9374</v>
      </c>
      <c r="K12671" s="5"/>
    </row>
    <row r="12672">
      <c r="A12672" s="3" t="s">
        <v>9561</v>
      </c>
      <c r="B12672" s="3" t="s">
        <v>9539</v>
      </c>
      <c r="C12672" s="3" t="s">
        <v>10324</v>
      </c>
      <c r="D12672" s="4" t="str">
        <f t="shared" si="1936"/>
        <v>12Go Link</v>
      </c>
      <c r="E12672" s="3" t="s">
        <v>9470</v>
      </c>
      <c r="K12672" s="5"/>
    </row>
    <row r="12673">
      <c r="A12673" s="3" t="s">
        <v>9561</v>
      </c>
      <c r="B12673" s="3" t="s">
        <v>9539</v>
      </c>
      <c r="C12673" s="3" t="s">
        <v>10325</v>
      </c>
      <c r="D12673" s="4" t="str">
        <f t="shared" ref="D12673:D12674" si="1937">HYPERLINK("https://12go.asia/en/travel/Nam-Anh-Hotel/Mr-Khanh-Travel-Agency-Ninh-Binh", "12Go Link")</f>
        <v>12Go Link</v>
      </c>
      <c r="E12673" s="3" t="s">
        <v>9374</v>
      </c>
      <c r="K12673" s="5"/>
    </row>
    <row r="12674">
      <c r="A12674" s="3" t="s">
        <v>9561</v>
      </c>
      <c r="B12674" s="3" t="s">
        <v>9539</v>
      </c>
      <c r="C12674" s="3" t="s">
        <v>10325</v>
      </c>
      <c r="D12674" s="4" t="str">
        <f t="shared" si="1937"/>
        <v>12Go Link</v>
      </c>
      <c r="E12674" s="3" t="s">
        <v>9470</v>
      </c>
      <c r="K12674" s="5"/>
    </row>
    <row r="12675">
      <c r="A12675" s="3" t="s">
        <v>9561</v>
      </c>
      <c r="B12675" s="3" t="s">
        <v>9539</v>
      </c>
      <c r="C12675" s="3" t="s">
        <v>10326</v>
      </c>
      <c r="D12675" s="4" t="str">
        <f t="shared" ref="D12675:D12676" si="1938">HYPERLINK("https://12go.asia/en/travel/Nam-Anh-Hotel/Ninh-Binh-Central-Hotel", "12Go Link")</f>
        <v>12Go Link</v>
      </c>
      <c r="E12675" s="3" t="s">
        <v>9374</v>
      </c>
      <c r="K12675" s="5"/>
    </row>
    <row r="12676">
      <c r="A12676" s="3" t="s">
        <v>9561</v>
      </c>
      <c r="B12676" s="3" t="s">
        <v>9539</v>
      </c>
      <c r="C12676" s="3" t="s">
        <v>10326</v>
      </c>
      <c r="D12676" s="4" t="str">
        <f t="shared" si="1938"/>
        <v>12Go Link</v>
      </c>
      <c r="E12676" s="3" t="s">
        <v>9470</v>
      </c>
      <c r="K12676" s="5"/>
    </row>
    <row r="12677">
      <c r="A12677" s="3" t="s">
        <v>9561</v>
      </c>
      <c r="B12677" s="3" t="s">
        <v>9539</v>
      </c>
      <c r="C12677" s="3" t="s">
        <v>10327</v>
      </c>
      <c r="D12677" s="4" t="str">
        <f t="shared" ref="D12677:D12678" si="1939">HYPERLINK("https://12go.asia/en/travel/Nam-Anh-Hotel/Ninh-Phong-Ninh-Binh", "12Go Link")</f>
        <v>12Go Link</v>
      </c>
      <c r="E12677" s="3" t="s">
        <v>9374</v>
      </c>
      <c r="K12677" s="5"/>
    </row>
    <row r="12678">
      <c r="A12678" s="3" t="s">
        <v>9561</v>
      </c>
      <c r="B12678" s="3" t="s">
        <v>9539</v>
      </c>
      <c r="C12678" s="3" t="s">
        <v>10327</v>
      </c>
      <c r="D12678" s="4" t="str">
        <f t="shared" si="1939"/>
        <v>12Go Link</v>
      </c>
      <c r="E12678" s="3" t="s">
        <v>9470</v>
      </c>
      <c r="K12678" s="5"/>
    </row>
    <row r="12679">
      <c r="A12679" s="3" t="s">
        <v>9561</v>
      </c>
      <c r="B12679" s="3" t="s">
        <v>9539</v>
      </c>
      <c r="C12679" s="3" t="s">
        <v>10328</v>
      </c>
      <c r="D12679" s="4" t="str">
        <f t="shared" ref="D12679:D12680" si="1940">HYPERLINK("https://12go.asia/en/travel/Nam-Anh-Hotel/Tam-Coc", "12Go Link")</f>
        <v>12Go Link</v>
      </c>
      <c r="E12679" s="3" t="s">
        <v>9374</v>
      </c>
      <c r="K12679" s="5"/>
    </row>
    <row r="12680">
      <c r="A12680" s="3" t="s">
        <v>9561</v>
      </c>
      <c r="B12680" s="3" t="s">
        <v>9539</v>
      </c>
      <c r="C12680" s="3" t="s">
        <v>10328</v>
      </c>
      <c r="D12680" s="4" t="str">
        <f t="shared" si="1940"/>
        <v>12Go Link</v>
      </c>
      <c r="E12680" s="3" t="s">
        <v>9470</v>
      </c>
      <c r="K12680" s="5"/>
    </row>
    <row r="12681">
      <c r="A12681" s="3" t="s">
        <v>9561</v>
      </c>
      <c r="B12681" s="3" t="s">
        <v>9539</v>
      </c>
      <c r="C12681" s="3" t="s">
        <v>10329</v>
      </c>
      <c r="D12681" s="4" t="str">
        <f>HYPERLINK("https://12go.asia/en/travel/Tbus-Phongnha/Mr-Khanh-Travel-Agency-Ninh-Binh", "12Go Link")</f>
        <v>12Go Link</v>
      </c>
      <c r="E12681" s="3" t="s">
        <v>9733</v>
      </c>
      <c r="K12681" s="5"/>
    </row>
    <row r="12682">
      <c r="A12682" s="3" t="s">
        <v>9561</v>
      </c>
      <c r="B12682" s="3" t="s">
        <v>9539</v>
      </c>
      <c r="C12682" s="3" t="s">
        <v>10330</v>
      </c>
      <c r="D12682" s="4" t="str">
        <f>HYPERLINK("https://12go.asia/en/travel/Tbus-Phongnha/Ninh-Binh-Central-Hotel", "12Go Link")</f>
        <v>12Go Link</v>
      </c>
      <c r="E12682" s="3" t="s">
        <v>9733</v>
      </c>
      <c r="K12682" s="5"/>
    </row>
    <row r="12683">
      <c r="A12683" s="3" t="s">
        <v>9561</v>
      </c>
      <c r="B12683" s="3" t="s">
        <v>9539</v>
      </c>
      <c r="C12683" s="3" t="s">
        <v>10331</v>
      </c>
      <c r="D12683" s="4" t="str">
        <f>HYPERLINK("https://12go.asia/en/travel/Tbus-Phongnha/Tam-Coc-NinhBinh", "12Go Link")</f>
        <v>12Go Link</v>
      </c>
      <c r="E12683" s="3" t="s">
        <v>9733</v>
      </c>
      <c r="K12683" s="5"/>
    </row>
    <row r="12684">
      <c r="A12684" s="3" t="s">
        <v>9561</v>
      </c>
      <c r="B12684" s="3" t="s">
        <v>9539</v>
      </c>
      <c r="C12684" s="3" t="s">
        <v>10332</v>
      </c>
      <c r="D12684" s="4" t="str">
        <f>HYPERLINK("https://12go.asia/en/travel/Tbus-Phongnha/The-Long-Hotel-Tam-Coc", "12Go Link")</f>
        <v>12Go Link</v>
      </c>
      <c r="E12684" s="3" t="s">
        <v>9733</v>
      </c>
      <c r="K12684" s="5"/>
    </row>
    <row r="12685">
      <c r="A12685" s="3" t="s">
        <v>9561</v>
      </c>
      <c r="B12685" s="3" t="s">
        <v>9539</v>
      </c>
      <c r="C12685" s="3" t="s">
        <v>10333</v>
      </c>
      <c r="D12685" s="4" t="str">
        <f>HYPERLINK("https://12go.asia/en/travel/Thien-Phu-Hostel/Mikes-Travel-Agency", "12Go Link")</f>
        <v>12Go Link</v>
      </c>
      <c r="E12685" s="3" t="s">
        <v>9449</v>
      </c>
      <c r="K12685" s="5"/>
    </row>
    <row r="12686">
      <c r="A12686" s="3" t="s">
        <v>9561</v>
      </c>
      <c r="B12686" s="3" t="s">
        <v>9539</v>
      </c>
      <c r="C12686" s="3" t="s">
        <v>10334</v>
      </c>
      <c r="D12686" s="4" t="str">
        <f>HYPERLINK("https://12go.asia/en/travel/Thien-Phu-Hostel/Mr-Khanh-Travel-Agency-Ninh-Binh", "12Go Link")</f>
        <v>12Go Link</v>
      </c>
      <c r="E12686" s="3" t="s">
        <v>9733</v>
      </c>
      <c r="K12686" s="5"/>
    </row>
    <row r="12687">
      <c r="A12687" s="3" t="s">
        <v>9561</v>
      </c>
      <c r="B12687" s="3" t="s">
        <v>9539</v>
      </c>
      <c r="C12687" s="3" t="s">
        <v>10335</v>
      </c>
      <c r="D12687" s="4" t="str">
        <f t="shared" ref="D12687:D12688" si="1941">HYPERLINK("https://12go.asia/en/travel/Thien-Phu-Hostel/Ninh-Binh-Central-Hotel", "12Go Link")</f>
        <v>12Go Link</v>
      </c>
      <c r="E12687" s="3" t="s">
        <v>9474</v>
      </c>
      <c r="K12687" s="5"/>
    </row>
    <row r="12688">
      <c r="A12688" s="3" t="s">
        <v>9561</v>
      </c>
      <c r="B12688" s="3" t="s">
        <v>9539</v>
      </c>
      <c r="C12688" s="3" t="s">
        <v>10335</v>
      </c>
      <c r="D12688" s="4" t="str">
        <f t="shared" si="1941"/>
        <v>12Go Link</v>
      </c>
      <c r="E12688" s="3" t="s">
        <v>9733</v>
      </c>
      <c r="K12688" s="5"/>
    </row>
    <row r="12689">
      <c r="A12689" s="3" t="s">
        <v>9561</v>
      </c>
      <c r="B12689" s="3" t="s">
        <v>9539</v>
      </c>
      <c r="C12689" s="3" t="s">
        <v>10336</v>
      </c>
      <c r="D12689" s="4" t="str">
        <f>HYPERLINK("https://12go.asia/en/travel/Thien-Phu-Hostel/Ninh-Phong-Ninh-Binh", "12Go Link")</f>
        <v>12Go Link</v>
      </c>
      <c r="E12689" s="3" t="s">
        <v>9449</v>
      </c>
      <c r="K12689" s="5"/>
    </row>
    <row r="12690">
      <c r="A12690" s="3" t="s">
        <v>9561</v>
      </c>
      <c r="B12690" s="3" t="s">
        <v>9539</v>
      </c>
      <c r="C12690" s="3" t="s">
        <v>10337</v>
      </c>
      <c r="D12690" s="4" t="str">
        <f t="shared" ref="D12690:D12691" si="1942">HYPERLINK("https://12go.asia/en/travel/Thien-Phu-Hostel/Tam-Coc-NinhBinh", "12Go Link")</f>
        <v>12Go Link</v>
      </c>
      <c r="E12690" s="3" t="s">
        <v>9733</v>
      </c>
      <c r="K12690" s="5"/>
    </row>
    <row r="12691">
      <c r="A12691" s="3" t="s">
        <v>9561</v>
      </c>
      <c r="B12691" s="3" t="s">
        <v>9539</v>
      </c>
      <c r="C12691" s="3" t="s">
        <v>10337</v>
      </c>
      <c r="D12691" s="4" t="str">
        <f t="shared" si="1942"/>
        <v>12Go Link</v>
      </c>
      <c r="E12691" s="3" t="s">
        <v>9449</v>
      </c>
      <c r="K12691" s="5"/>
    </row>
    <row r="12692">
      <c r="A12692" s="3" t="s">
        <v>9561</v>
      </c>
      <c r="B12692" s="3" t="s">
        <v>9539</v>
      </c>
      <c r="C12692" s="3" t="s">
        <v>10338</v>
      </c>
      <c r="D12692" s="4" t="str">
        <f>HYPERLINK("https://12go.asia/en/travel/Thien-Phu-Hostel/The-Long-Hotel-Tam-Coc", "12Go Link")</f>
        <v>12Go Link</v>
      </c>
      <c r="E12692" s="3" t="s">
        <v>9733</v>
      </c>
      <c r="K12692" s="5"/>
    </row>
    <row r="12693">
      <c r="A12693" s="3" t="s">
        <v>9561</v>
      </c>
      <c r="B12693" s="3" t="s">
        <v>9573</v>
      </c>
      <c r="C12693" s="3" t="s">
        <v>10339</v>
      </c>
      <c r="D12693" s="4" t="str">
        <f>HYPERLINK("https://12go.asia/en/travel/Nam-Anh-Hotel/Tbus-Halong", "12Go Link")</f>
        <v>12Go Link</v>
      </c>
      <c r="E12693" s="3" t="s">
        <v>9515</v>
      </c>
      <c r="K12693" s="5"/>
    </row>
    <row r="12694">
      <c r="A12694" s="3" t="s">
        <v>9561</v>
      </c>
      <c r="B12694" s="3" t="s">
        <v>9573</v>
      </c>
      <c r="C12694" s="3" t="s">
        <v>10340</v>
      </c>
      <c r="D12694" s="4" t="str">
        <f>HYPERLINK("https://12go.asia/en/travel/Nam-Anh-Hotel/Tuan-Chau", "12Go Link")</f>
        <v>12Go Link</v>
      </c>
      <c r="E12694" s="3" t="s">
        <v>9515</v>
      </c>
      <c r="K12694" s="5"/>
    </row>
    <row r="12695">
      <c r="A12695" s="3" t="s">
        <v>10341</v>
      </c>
      <c r="B12695" s="3" t="s">
        <v>10342</v>
      </c>
      <c r="C12695" s="3" t="s">
        <v>10343</v>
      </c>
      <c r="D12695" s="4" t="str">
        <f t="shared" ref="D12695:D12699" si="1943">HYPERLINK("https://12go.asia/en/travel/Phu-Quoc-Airport/An-Thoi", "12Go Link")</f>
        <v>12Go Link</v>
      </c>
      <c r="E12695" s="3" t="s">
        <v>222</v>
      </c>
      <c r="K12695" s="5"/>
    </row>
    <row r="12696">
      <c r="A12696" s="3" t="s">
        <v>10341</v>
      </c>
      <c r="B12696" s="3" t="s">
        <v>10342</v>
      </c>
      <c r="C12696" s="3" t="s">
        <v>10343</v>
      </c>
      <c r="D12696" s="4" t="str">
        <f t="shared" si="1943"/>
        <v>12Go Link</v>
      </c>
      <c r="E12696" s="3" t="s">
        <v>6599</v>
      </c>
      <c r="K12696" s="5"/>
    </row>
    <row r="12697">
      <c r="A12697" s="3" t="s">
        <v>10341</v>
      </c>
      <c r="B12697" s="3" t="s">
        <v>10342</v>
      </c>
      <c r="C12697" s="3" t="s">
        <v>10343</v>
      </c>
      <c r="D12697" s="4" t="str">
        <f t="shared" si="1943"/>
        <v>12Go Link</v>
      </c>
      <c r="E12697" s="3" t="s">
        <v>9395</v>
      </c>
      <c r="K12697" s="5"/>
    </row>
    <row r="12698">
      <c r="A12698" s="3" t="s">
        <v>10341</v>
      </c>
      <c r="B12698" s="3" t="s">
        <v>10342</v>
      </c>
      <c r="C12698" s="3" t="s">
        <v>10343</v>
      </c>
      <c r="D12698" s="4" t="str">
        <f t="shared" si="1943"/>
        <v>12Go Link</v>
      </c>
      <c r="E12698" s="3" t="s">
        <v>9396</v>
      </c>
      <c r="K12698" s="5"/>
    </row>
    <row r="12699">
      <c r="A12699" s="3" t="s">
        <v>10341</v>
      </c>
      <c r="B12699" s="3" t="s">
        <v>10342</v>
      </c>
      <c r="C12699" s="3" t="s">
        <v>10343</v>
      </c>
      <c r="D12699" s="4" t="str">
        <f t="shared" si="1943"/>
        <v>12Go Link</v>
      </c>
      <c r="E12699" s="3" t="s">
        <v>7470</v>
      </c>
      <c r="K12699" s="5"/>
    </row>
    <row r="12700">
      <c r="A12700" s="3" t="s">
        <v>10341</v>
      </c>
      <c r="B12700" s="3" t="s">
        <v>10342</v>
      </c>
      <c r="C12700" s="3" t="s">
        <v>10344</v>
      </c>
      <c r="D12700" s="4" t="str">
        <f t="shared" ref="D12700:D12704" si="1944">HYPERLINK("https://12go.asia/en/travel/Phu-Quoc-Airport/Ganh-Dau-Beach", "12Go Link")</f>
        <v>12Go Link</v>
      </c>
      <c r="E12700" s="3" t="s">
        <v>222</v>
      </c>
      <c r="K12700" s="5"/>
    </row>
    <row r="12701">
      <c r="A12701" s="3" t="s">
        <v>10341</v>
      </c>
      <c r="B12701" s="3" t="s">
        <v>10342</v>
      </c>
      <c r="C12701" s="3" t="s">
        <v>10344</v>
      </c>
      <c r="D12701" s="4" t="str">
        <f t="shared" si="1944"/>
        <v>12Go Link</v>
      </c>
      <c r="E12701" s="3" t="s">
        <v>6599</v>
      </c>
      <c r="K12701" s="5"/>
    </row>
    <row r="12702">
      <c r="A12702" s="3" t="s">
        <v>10341</v>
      </c>
      <c r="B12702" s="3" t="s">
        <v>10342</v>
      </c>
      <c r="C12702" s="3" t="s">
        <v>10344</v>
      </c>
      <c r="D12702" s="4" t="str">
        <f t="shared" si="1944"/>
        <v>12Go Link</v>
      </c>
      <c r="E12702" s="3" t="s">
        <v>9395</v>
      </c>
      <c r="K12702" s="5"/>
    </row>
    <row r="12703">
      <c r="A12703" s="3" t="s">
        <v>10341</v>
      </c>
      <c r="B12703" s="3" t="s">
        <v>10342</v>
      </c>
      <c r="C12703" s="3" t="s">
        <v>10344</v>
      </c>
      <c r="D12703" s="4" t="str">
        <f t="shared" si="1944"/>
        <v>12Go Link</v>
      </c>
      <c r="E12703" s="3" t="s">
        <v>9396</v>
      </c>
      <c r="K12703" s="5"/>
    </row>
    <row r="12704">
      <c r="A12704" s="3" t="s">
        <v>10341</v>
      </c>
      <c r="B12704" s="3" t="s">
        <v>10342</v>
      </c>
      <c r="C12704" s="3" t="s">
        <v>10344</v>
      </c>
      <c r="D12704" s="4" t="str">
        <f t="shared" si="1944"/>
        <v>12Go Link</v>
      </c>
      <c r="E12704" s="3" t="s">
        <v>7470</v>
      </c>
      <c r="K12704" s="5"/>
    </row>
    <row r="12705">
      <c r="A12705" s="3" t="s">
        <v>10341</v>
      </c>
      <c r="B12705" s="3" t="s">
        <v>10342</v>
      </c>
      <c r="C12705" s="3" t="s">
        <v>10345</v>
      </c>
      <c r="D12705" s="4" t="str">
        <f t="shared" ref="D12705:D12709" si="1945">HYPERLINK("https://12go.asia/en/travel/Phu-Quoc-Airport/Ong-Lang-Beach", "12Go Link")</f>
        <v>12Go Link</v>
      </c>
      <c r="E12705" s="3" t="s">
        <v>222</v>
      </c>
      <c r="K12705" s="5"/>
    </row>
    <row r="12706">
      <c r="A12706" s="3" t="s">
        <v>10341</v>
      </c>
      <c r="B12706" s="3" t="s">
        <v>10342</v>
      </c>
      <c r="C12706" s="3" t="s">
        <v>10345</v>
      </c>
      <c r="D12706" s="4" t="str">
        <f t="shared" si="1945"/>
        <v>12Go Link</v>
      </c>
      <c r="E12706" s="3" t="s">
        <v>6599</v>
      </c>
      <c r="K12706" s="5"/>
    </row>
    <row r="12707">
      <c r="A12707" s="3" t="s">
        <v>10341</v>
      </c>
      <c r="B12707" s="3" t="s">
        <v>10342</v>
      </c>
      <c r="C12707" s="3" t="s">
        <v>10345</v>
      </c>
      <c r="D12707" s="4" t="str">
        <f t="shared" si="1945"/>
        <v>12Go Link</v>
      </c>
      <c r="E12707" s="3" t="s">
        <v>9395</v>
      </c>
      <c r="K12707" s="5"/>
    </row>
    <row r="12708">
      <c r="A12708" s="3" t="s">
        <v>10341</v>
      </c>
      <c r="B12708" s="3" t="s">
        <v>10342</v>
      </c>
      <c r="C12708" s="3" t="s">
        <v>10345</v>
      </c>
      <c r="D12708" s="4" t="str">
        <f t="shared" si="1945"/>
        <v>12Go Link</v>
      </c>
      <c r="E12708" s="3" t="s">
        <v>9396</v>
      </c>
      <c r="K12708" s="5"/>
    </row>
    <row r="12709">
      <c r="A12709" s="3" t="s">
        <v>10341</v>
      </c>
      <c r="B12709" s="3" t="s">
        <v>10342</v>
      </c>
      <c r="C12709" s="3" t="s">
        <v>10345</v>
      </c>
      <c r="D12709" s="4" t="str">
        <f t="shared" si="1945"/>
        <v>12Go Link</v>
      </c>
      <c r="E12709" s="3" t="s">
        <v>7470</v>
      </c>
      <c r="K12709" s="5"/>
    </row>
    <row r="12710">
      <c r="A12710" s="3" t="s">
        <v>10341</v>
      </c>
      <c r="B12710" s="3" t="s">
        <v>10341</v>
      </c>
      <c r="C12710" s="3" t="s">
        <v>10346</v>
      </c>
      <c r="D12710" s="4" t="str">
        <f t="shared" ref="D12710:D12714" si="1946">HYPERLINK("https://12go.asia/en/travel/Phu-Quoc-Airport/Cua-Can-Beach", "12Go Link")</f>
        <v>12Go Link</v>
      </c>
      <c r="E12710" s="3" t="s">
        <v>222</v>
      </c>
      <c r="K12710" s="5"/>
    </row>
    <row r="12711">
      <c r="A12711" s="3" t="s">
        <v>10341</v>
      </c>
      <c r="B12711" s="3" t="s">
        <v>10341</v>
      </c>
      <c r="C12711" s="3" t="s">
        <v>10346</v>
      </c>
      <c r="D12711" s="4" t="str">
        <f t="shared" si="1946"/>
        <v>12Go Link</v>
      </c>
      <c r="E12711" s="3" t="s">
        <v>6599</v>
      </c>
      <c r="K12711" s="5"/>
    </row>
    <row r="12712">
      <c r="A12712" s="3" t="s">
        <v>10341</v>
      </c>
      <c r="B12712" s="3" t="s">
        <v>10341</v>
      </c>
      <c r="C12712" s="3" t="s">
        <v>10346</v>
      </c>
      <c r="D12712" s="4" t="str">
        <f t="shared" si="1946"/>
        <v>12Go Link</v>
      </c>
      <c r="E12712" s="3" t="s">
        <v>9395</v>
      </c>
      <c r="K12712" s="5"/>
    </row>
    <row r="12713">
      <c r="A12713" s="3" t="s">
        <v>10341</v>
      </c>
      <c r="B12713" s="3" t="s">
        <v>10341</v>
      </c>
      <c r="C12713" s="3" t="s">
        <v>10346</v>
      </c>
      <c r="D12713" s="4" t="str">
        <f t="shared" si="1946"/>
        <v>12Go Link</v>
      </c>
      <c r="E12713" s="3" t="s">
        <v>9396</v>
      </c>
      <c r="K12713" s="5"/>
    </row>
    <row r="12714">
      <c r="A12714" s="3" t="s">
        <v>10341</v>
      </c>
      <c r="B12714" s="3" t="s">
        <v>10341</v>
      </c>
      <c r="C12714" s="3" t="s">
        <v>10346</v>
      </c>
      <c r="D12714" s="4" t="str">
        <f t="shared" si="1946"/>
        <v>12Go Link</v>
      </c>
      <c r="E12714" s="3" t="s">
        <v>7470</v>
      </c>
      <c r="K12714" s="5"/>
    </row>
    <row r="12715">
      <c r="A12715" s="3" t="s">
        <v>10341</v>
      </c>
      <c r="B12715" s="3" t="s">
        <v>10341</v>
      </c>
      <c r="C12715" s="3" t="s">
        <v>10347</v>
      </c>
      <c r="D12715" s="4" t="str">
        <f t="shared" ref="D12715:D12719" si="1947">HYPERLINK("https://12go.asia/en/travel/Phu-Quoc-Airport/Long-Beach-Resort", "12Go Link")</f>
        <v>12Go Link</v>
      </c>
      <c r="E12715" s="3" t="s">
        <v>222</v>
      </c>
      <c r="K12715" s="5"/>
    </row>
    <row r="12716">
      <c r="A12716" s="3" t="s">
        <v>10341</v>
      </c>
      <c r="B12716" s="3" t="s">
        <v>10341</v>
      </c>
      <c r="C12716" s="3" t="s">
        <v>10347</v>
      </c>
      <c r="D12716" s="4" t="str">
        <f t="shared" si="1947"/>
        <v>12Go Link</v>
      </c>
      <c r="E12716" s="3" t="s">
        <v>6599</v>
      </c>
      <c r="K12716" s="5"/>
    </row>
    <row r="12717">
      <c r="A12717" s="3" t="s">
        <v>10341</v>
      </c>
      <c r="B12717" s="3" t="s">
        <v>10341</v>
      </c>
      <c r="C12717" s="3" t="s">
        <v>10347</v>
      </c>
      <c r="D12717" s="4" t="str">
        <f t="shared" si="1947"/>
        <v>12Go Link</v>
      </c>
      <c r="E12717" s="3" t="s">
        <v>9395</v>
      </c>
      <c r="K12717" s="5"/>
    </row>
    <row r="12718">
      <c r="A12718" s="3" t="s">
        <v>10341</v>
      </c>
      <c r="B12718" s="3" t="s">
        <v>10341</v>
      </c>
      <c r="C12718" s="3" t="s">
        <v>10347</v>
      </c>
      <c r="D12718" s="4" t="str">
        <f t="shared" si="1947"/>
        <v>12Go Link</v>
      </c>
      <c r="E12718" s="3" t="s">
        <v>9396</v>
      </c>
      <c r="K12718" s="5"/>
    </row>
    <row r="12719">
      <c r="A12719" s="3" t="s">
        <v>10341</v>
      </c>
      <c r="B12719" s="3" t="s">
        <v>10341</v>
      </c>
      <c r="C12719" s="3" t="s">
        <v>10347</v>
      </c>
      <c r="D12719" s="4" t="str">
        <f t="shared" si="1947"/>
        <v>12Go Link</v>
      </c>
      <c r="E12719" s="3" t="s">
        <v>7470</v>
      </c>
      <c r="K12719" s="5"/>
    </row>
    <row r="12720">
      <c r="A12720" s="3" t="s">
        <v>10341</v>
      </c>
      <c r="B12720" s="3" t="s">
        <v>10341</v>
      </c>
      <c r="C12720" s="3" t="s">
        <v>10348</v>
      </c>
      <c r="D12720" s="4" t="str">
        <f t="shared" ref="D12720:D12724" si="1948">HYPERLINK("https://12go.asia/en/travel/Phu-Quoc-Airport/Town-Center", "12Go Link")</f>
        <v>12Go Link</v>
      </c>
      <c r="E12720" s="3" t="s">
        <v>222</v>
      </c>
      <c r="K12720" s="5"/>
    </row>
    <row r="12721">
      <c r="A12721" s="3" t="s">
        <v>10341</v>
      </c>
      <c r="B12721" s="3" t="s">
        <v>10341</v>
      </c>
      <c r="C12721" s="3" t="s">
        <v>10348</v>
      </c>
      <c r="D12721" s="4" t="str">
        <f t="shared" si="1948"/>
        <v>12Go Link</v>
      </c>
      <c r="E12721" s="3" t="s">
        <v>6599</v>
      </c>
      <c r="K12721" s="5"/>
    </row>
    <row r="12722">
      <c r="A12722" s="3" t="s">
        <v>10341</v>
      </c>
      <c r="B12722" s="3" t="s">
        <v>10341</v>
      </c>
      <c r="C12722" s="3" t="s">
        <v>10348</v>
      </c>
      <c r="D12722" s="4" t="str">
        <f t="shared" si="1948"/>
        <v>12Go Link</v>
      </c>
      <c r="E12722" s="3" t="s">
        <v>9395</v>
      </c>
      <c r="K12722" s="5"/>
    </row>
    <row r="12723">
      <c r="A12723" s="3" t="s">
        <v>10341</v>
      </c>
      <c r="B12723" s="3" t="s">
        <v>10341</v>
      </c>
      <c r="C12723" s="3" t="s">
        <v>10348</v>
      </c>
      <c r="D12723" s="4" t="str">
        <f t="shared" si="1948"/>
        <v>12Go Link</v>
      </c>
      <c r="E12723" s="3" t="s">
        <v>9396</v>
      </c>
      <c r="K12723" s="5"/>
    </row>
    <row r="12724">
      <c r="A12724" s="3" t="s">
        <v>10341</v>
      </c>
      <c r="B12724" s="3" t="s">
        <v>10341</v>
      </c>
      <c r="C12724" s="3" t="s">
        <v>10348</v>
      </c>
      <c r="D12724" s="4" t="str">
        <f t="shared" si="1948"/>
        <v>12Go Link</v>
      </c>
      <c r="E12724" s="3" t="s">
        <v>7470</v>
      </c>
      <c r="K12724" s="5"/>
    </row>
    <row r="12725">
      <c r="A12725" s="3" t="s">
        <v>10341</v>
      </c>
      <c r="B12725" s="3" t="s">
        <v>10341</v>
      </c>
      <c r="C12725" s="3" t="s">
        <v>10349</v>
      </c>
      <c r="D12725" s="4" t="str">
        <f t="shared" ref="D12725:D12729" si="1949">HYPERLINK("https://12go.asia/en/travel/Phu-Quoc-Airport/Vinpearl-Grand-World", "12Go Link")</f>
        <v>12Go Link</v>
      </c>
      <c r="E12725" s="3" t="s">
        <v>222</v>
      </c>
      <c r="K12725" s="5"/>
    </row>
    <row r="12726">
      <c r="A12726" s="3" t="s">
        <v>10341</v>
      </c>
      <c r="B12726" s="3" t="s">
        <v>10341</v>
      </c>
      <c r="C12726" s="3" t="s">
        <v>10349</v>
      </c>
      <c r="D12726" s="4" t="str">
        <f t="shared" si="1949"/>
        <v>12Go Link</v>
      </c>
      <c r="E12726" s="3" t="s">
        <v>6599</v>
      </c>
      <c r="K12726" s="5"/>
    </row>
    <row r="12727">
      <c r="A12727" s="3" t="s">
        <v>10341</v>
      </c>
      <c r="B12727" s="3" t="s">
        <v>10341</v>
      </c>
      <c r="C12727" s="3" t="s">
        <v>10349</v>
      </c>
      <c r="D12727" s="4" t="str">
        <f t="shared" si="1949"/>
        <v>12Go Link</v>
      </c>
      <c r="E12727" s="3" t="s">
        <v>9395</v>
      </c>
      <c r="K12727" s="5"/>
    </row>
    <row r="12728">
      <c r="A12728" s="3" t="s">
        <v>10341</v>
      </c>
      <c r="B12728" s="3" t="s">
        <v>10341</v>
      </c>
      <c r="C12728" s="3" t="s">
        <v>10349</v>
      </c>
      <c r="D12728" s="4" t="str">
        <f t="shared" si="1949"/>
        <v>12Go Link</v>
      </c>
      <c r="E12728" s="3" t="s">
        <v>9396</v>
      </c>
      <c r="K12728" s="5"/>
    </row>
    <row r="12729">
      <c r="A12729" s="3" t="s">
        <v>10341</v>
      </c>
      <c r="B12729" s="3" t="s">
        <v>10341</v>
      </c>
      <c r="C12729" s="3" t="s">
        <v>10349</v>
      </c>
      <c r="D12729" s="4" t="str">
        <f t="shared" si="1949"/>
        <v>12Go Link</v>
      </c>
      <c r="E12729" s="3" t="s">
        <v>7470</v>
      </c>
      <c r="K12729" s="5"/>
    </row>
    <row r="12730">
      <c r="A12730" s="3" t="s">
        <v>10341</v>
      </c>
      <c r="B12730" s="3" t="s">
        <v>10341</v>
      </c>
      <c r="C12730" s="3" t="s">
        <v>10350</v>
      </c>
      <c r="D12730" s="4" t="str">
        <f t="shared" ref="D12730:D12734" si="1950">HYPERLINK("https://12go.asia/en/travel/Phu-Quoc-Airport/Vinpearl-Resort", "12Go Link")</f>
        <v>12Go Link</v>
      </c>
      <c r="E12730" s="3" t="s">
        <v>222</v>
      </c>
      <c r="K12730" s="5"/>
    </row>
    <row r="12731">
      <c r="A12731" s="3" t="s">
        <v>10341</v>
      </c>
      <c r="B12731" s="3" t="s">
        <v>10341</v>
      </c>
      <c r="C12731" s="3" t="s">
        <v>10350</v>
      </c>
      <c r="D12731" s="4" t="str">
        <f t="shared" si="1950"/>
        <v>12Go Link</v>
      </c>
      <c r="E12731" s="3" t="s">
        <v>6599</v>
      </c>
      <c r="K12731" s="5"/>
    </row>
    <row r="12732">
      <c r="A12732" s="3" t="s">
        <v>10341</v>
      </c>
      <c r="B12732" s="3" t="s">
        <v>10341</v>
      </c>
      <c r="C12732" s="3" t="s">
        <v>10350</v>
      </c>
      <c r="D12732" s="4" t="str">
        <f t="shared" si="1950"/>
        <v>12Go Link</v>
      </c>
      <c r="E12732" s="3" t="s">
        <v>9395</v>
      </c>
      <c r="K12732" s="5"/>
    </row>
    <row r="12733">
      <c r="A12733" s="3" t="s">
        <v>10341</v>
      </c>
      <c r="B12733" s="3" t="s">
        <v>10341</v>
      </c>
      <c r="C12733" s="3" t="s">
        <v>10350</v>
      </c>
      <c r="D12733" s="4" t="str">
        <f t="shared" si="1950"/>
        <v>12Go Link</v>
      </c>
      <c r="E12733" s="3" t="s">
        <v>9396</v>
      </c>
      <c r="K12733" s="5"/>
    </row>
    <row r="12734">
      <c r="A12734" s="3" t="s">
        <v>10341</v>
      </c>
      <c r="B12734" s="3" t="s">
        <v>10341</v>
      </c>
      <c r="C12734" s="3" t="s">
        <v>10350</v>
      </c>
      <c r="D12734" s="4" t="str">
        <f t="shared" si="1950"/>
        <v>12Go Link</v>
      </c>
      <c r="E12734" s="3" t="s">
        <v>7470</v>
      </c>
      <c r="K12734" s="5"/>
    </row>
    <row r="12735">
      <c r="A12735" s="3" t="s">
        <v>9401</v>
      </c>
      <c r="B12735" s="3" t="s">
        <v>9652</v>
      </c>
      <c r="C12735" s="3" t="s">
        <v>10351</v>
      </c>
      <c r="D12735" s="4" t="str">
        <f>HYPERLINK("https://12go.asia/en/travel/phu-yen/ha-nam", "12Go Link")</f>
        <v>12Go Link</v>
      </c>
      <c r="E12735" s="3" t="s">
        <v>94</v>
      </c>
      <c r="K12735" s="5"/>
    </row>
    <row r="12736">
      <c r="A12736" s="3" t="s">
        <v>9401</v>
      </c>
      <c r="B12736" s="3" t="s">
        <v>9652</v>
      </c>
      <c r="C12736" s="3" t="s">
        <v>10352</v>
      </c>
      <c r="D12736" s="4" t="str">
        <f>HYPERLINK("https://12go.asia/en/travel/tuy-hoa/phu-ly", "12Go Link")</f>
        <v>12Go Link</v>
      </c>
      <c r="E12736" s="3" t="s">
        <v>94</v>
      </c>
      <c r="K12736" s="5"/>
    </row>
    <row r="12737">
      <c r="A12737" s="3" t="s">
        <v>10353</v>
      </c>
      <c r="B12737" s="3" t="s">
        <v>9419</v>
      </c>
      <c r="C12737" s="3" t="s">
        <v>10354</v>
      </c>
      <c r="D12737" s="4" t="str">
        <f>HYPERLINK("https://12go.asia/en/travel/dong-le/ho-chi-minh-city", "12Go Link")</f>
        <v>12Go Link</v>
      </c>
      <c r="E12737" s="3" t="s">
        <v>94</v>
      </c>
      <c r="K12737" s="5"/>
    </row>
    <row r="12738">
      <c r="A12738" s="3" t="s">
        <v>9573</v>
      </c>
      <c r="B12738" s="3" t="s">
        <v>9447</v>
      </c>
      <c r="C12738" s="3" t="s">
        <v>10355</v>
      </c>
      <c r="D12738" s="4" t="str">
        <f>HYPERLINK("https://12go.asia/en/travel/Toyota-Ha-Long/Da-Nang-An-Phu", "12Go Link")</f>
        <v>12Go Link</v>
      </c>
      <c r="E12738" s="3" t="s">
        <v>10356</v>
      </c>
      <c r="K12738" s="5"/>
    </row>
    <row r="12739">
      <c r="A12739" s="3" t="s">
        <v>9573</v>
      </c>
      <c r="B12739" s="3" t="s">
        <v>9463</v>
      </c>
      <c r="C12739" s="3" t="s">
        <v>10357</v>
      </c>
      <c r="D12739" s="4" t="str">
        <f>HYPERLINK("https://12go.asia/en/travel/Toyota-Ha-Long/Thang-Long-Hotel", "12Go Link")</f>
        <v>12Go Link</v>
      </c>
      <c r="E12739" s="3" t="s">
        <v>10356</v>
      </c>
      <c r="K12739" s="5"/>
    </row>
    <row r="12740">
      <c r="A12740" s="3" t="s">
        <v>9573</v>
      </c>
      <c r="B12740" s="3" t="s">
        <v>9605</v>
      </c>
      <c r="C12740" s="3" t="s">
        <v>10358</v>
      </c>
      <c r="D12740" s="4" t="str">
        <f>HYPERLINK("https://12go.asia/en/travel/Halong-SB1/Ha-Giang-Hostel", "12Go Link")</f>
        <v>12Go Link</v>
      </c>
      <c r="E12740" s="3" t="s">
        <v>9706</v>
      </c>
      <c r="K12740" s="5"/>
    </row>
    <row r="12741">
      <c r="A12741" s="3" t="s">
        <v>9573</v>
      </c>
      <c r="B12741" s="3" t="s">
        <v>9605</v>
      </c>
      <c r="C12741" s="3" t="s">
        <v>10359</v>
      </c>
      <c r="D12741" s="4" t="str">
        <f>HYPERLINK("https://12go.asia/en/travel/Tung-Luxury-Hotel-Ha-Long/Ha-Giang-Hostel", "12Go Link")</f>
        <v>12Go Link</v>
      </c>
      <c r="E12741" s="3" t="s">
        <v>9474</v>
      </c>
      <c r="K12741" s="5"/>
    </row>
    <row r="12742">
      <c r="A12742" s="3" t="s">
        <v>9573</v>
      </c>
      <c r="B12742" s="3" t="s">
        <v>9466</v>
      </c>
      <c r="C12742" s="3" t="s">
        <v>10360</v>
      </c>
      <c r="D12742" s="4" t="str">
        <f>HYPERLINK("https://12go.asia/en/travel/Halong-International-Cruise-Port/162-Tran-Quang-Khai", "12Go Link")</f>
        <v>12Go Link</v>
      </c>
      <c r="E12742" s="3" t="s">
        <v>9833</v>
      </c>
      <c r="K12742" s="5"/>
    </row>
    <row r="12743">
      <c r="A12743" s="3" t="s">
        <v>9573</v>
      </c>
      <c r="B12743" s="3" t="s">
        <v>9466</v>
      </c>
      <c r="C12743" s="3" t="s">
        <v>10361</v>
      </c>
      <c r="D12743" s="4" t="str">
        <f>HYPERLINK("https://12go.asia/en/travel/Halong-International-Cruise-Port/AEON-Long-Bien", "12Go Link")</f>
        <v>12Go Link</v>
      </c>
      <c r="E12743" s="3" t="s">
        <v>9833</v>
      </c>
      <c r="K12743" s="5"/>
    </row>
    <row r="12744">
      <c r="A12744" s="3" t="s">
        <v>9573</v>
      </c>
      <c r="B12744" s="3" t="s">
        <v>9466</v>
      </c>
      <c r="C12744" s="3" t="s">
        <v>10362</v>
      </c>
      <c r="D12744" s="4" t="str">
        <f>HYPERLINK("https://12go.asia/en/travel/Halong-International-Cruise-Port/Hanoi-Opera-House", "12Go Link")</f>
        <v>12Go Link</v>
      </c>
      <c r="E12744" s="3" t="s">
        <v>9833</v>
      </c>
      <c r="K12744" s="5"/>
    </row>
    <row r="12745">
      <c r="A12745" s="3" t="s">
        <v>9573</v>
      </c>
      <c r="B12745" s="3" t="s">
        <v>9466</v>
      </c>
      <c r="C12745" s="3" t="s">
        <v>10363</v>
      </c>
      <c r="D12745" s="4" t="str">
        <f>HYPERLINK("https://12go.asia/en/travel/Halong-International-Cruise-Port/Vietnam-National-Museum-of-History", "12Go Link")</f>
        <v>12Go Link</v>
      </c>
      <c r="E12745" s="3" t="s">
        <v>9833</v>
      </c>
      <c r="K12745" s="5"/>
    </row>
    <row r="12746">
      <c r="A12746" s="3" t="s">
        <v>9573</v>
      </c>
      <c r="B12746" s="3" t="s">
        <v>9466</v>
      </c>
      <c r="C12746" s="3" t="s">
        <v>10364</v>
      </c>
      <c r="D12746" s="4" t="str">
        <f>HYPERLINK("https://12go.asia/en/travel/Halong-SB1/Hanoi-Noi-Bai-Airport", "12Go Link")</f>
        <v>12Go Link</v>
      </c>
      <c r="E12746" s="3" t="s">
        <v>9607</v>
      </c>
      <c r="K12746" s="5"/>
    </row>
    <row r="12747">
      <c r="A12747" s="3" t="s">
        <v>9573</v>
      </c>
      <c r="B12747" s="3" t="s">
        <v>9466</v>
      </c>
      <c r="C12747" s="3" t="s">
        <v>10365</v>
      </c>
      <c r="D12747" s="4" t="str">
        <f>HYPERLINK("https://12go.asia/en/travel/Halong-SB1/Hanoi-Opera-House", "12Go Link")</f>
        <v>12Go Link</v>
      </c>
      <c r="E12747" s="3" t="s">
        <v>9607</v>
      </c>
      <c r="K12747" s="5"/>
    </row>
    <row r="12748">
      <c r="A12748" s="3" t="s">
        <v>9573</v>
      </c>
      <c r="B12748" s="3" t="s">
        <v>9466</v>
      </c>
      <c r="C12748" s="3" t="s">
        <v>10366</v>
      </c>
      <c r="D12748" s="4" t="str">
        <f>HYPERLINK("https://12go.asia/en/travel/Halong-SB1/Hanoi-SSB", "12Go Link")</f>
        <v>12Go Link</v>
      </c>
      <c r="E12748" s="3" t="s">
        <v>9607</v>
      </c>
      <c r="K12748" s="5"/>
    </row>
    <row r="12749">
      <c r="A12749" s="3" t="s">
        <v>9573</v>
      </c>
      <c r="B12749" s="3" t="s">
        <v>9466</v>
      </c>
      <c r="C12749" s="3" t="s">
        <v>10367</v>
      </c>
      <c r="D12749" s="4" t="str">
        <f>HYPERLINK("https://12go.asia/en/travel/Tuan-Chau-Harbour/162-Tran-Quang-Khai", "12Go Link")</f>
        <v>12Go Link</v>
      </c>
      <c r="E12749" s="3" t="s">
        <v>9833</v>
      </c>
      <c r="K12749" s="5"/>
    </row>
    <row r="12750">
      <c r="A12750" s="3" t="s">
        <v>9573</v>
      </c>
      <c r="B12750" s="3" t="s">
        <v>9466</v>
      </c>
      <c r="C12750" s="3" t="s">
        <v>10368</v>
      </c>
      <c r="D12750" s="4" t="str">
        <f>HYPERLINK("https://12go.asia/en/travel/Tuan-Chau-Harbour/AEON-Long-Bien", "12Go Link")</f>
        <v>12Go Link</v>
      </c>
      <c r="E12750" s="3" t="s">
        <v>9833</v>
      </c>
      <c r="K12750" s="5"/>
    </row>
    <row r="12751">
      <c r="A12751" s="3" t="s">
        <v>9573</v>
      </c>
      <c r="B12751" s="3" t="s">
        <v>9466</v>
      </c>
      <c r="C12751" s="3" t="s">
        <v>10369</v>
      </c>
      <c r="D12751" s="4" t="str">
        <f>HYPERLINK("https://12go.asia/en/travel/Tuan-Chau-Harbour/Hanoi-Opera-House", "12Go Link")</f>
        <v>12Go Link</v>
      </c>
      <c r="E12751" s="3" t="s">
        <v>9833</v>
      </c>
      <c r="K12751" s="5"/>
    </row>
    <row r="12752">
      <c r="A12752" s="3" t="s">
        <v>9573</v>
      </c>
      <c r="B12752" s="3" t="s">
        <v>9466</v>
      </c>
      <c r="C12752" s="3" t="s">
        <v>10370</v>
      </c>
      <c r="D12752" s="4" t="str">
        <f>HYPERLINK("https://12go.asia/en/travel/Tuan-Chau-Harbour/Vietnam-National-Museum-of-History", "12Go Link")</f>
        <v>12Go Link</v>
      </c>
      <c r="E12752" s="3" t="s">
        <v>9833</v>
      </c>
      <c r="K12752" s="5"/>
    </row>
    <row r="12753">
      <c r="A12753" s="3" t="s">
        <v>9573</v>
      </c>
      <c r="B12753" s="3" t="s">
        <v>9466</v>
      </c>
      <c r="C12753" s="3" t="s">
        <v>10371</v>
      </c>
      <c r="D12753" s="4" t="str">
        <f>HYPERLINK("https://12go.asia/en/travel/Tung-Luxury-Hotel-Ha-Long/04-Hang-Chinh-Maison-Mackeno", "12Go Link")</f>
        <v>12Go Link</v>
      </c>
      <c r="E12753" s="3" t="s">
        <v>9474</v>
      </c>
      <c r="K12753" s="5"/>
    </row>
    <row r="12754">
      <c r="A12754" s="3" t="s">
        <v>9573</v>
      </c>
      <c r="B12754" s="3" t="s">
        <v>9466</v>
      </c>
      <c r="C12754" s="3" t="s">
        <v>10372</v>
      </c>
      <c r="D12754" s="4" t="str">
        <f>HYPERLINK("https://12go.asia/en/travel/Tung-Luxury-Hotel-Ha-Long/16-Hang-Chinh-Hanoi", "12Go Link")</f>
        <v>12Go Link</v>
      </c>
      <c r="E12754" s="3" t="s">
        <v>9474</v>
      </c>
      <c r="K12754" s="5"/>
    </row>
    <row r="12755">
      <c r="A12755" s="3" t="s">
        <v>9573</v>
      </c>
      <c r="B12755" s="3" t="s">
        <v>9487</v>
      </c>
      <c r="C12755" s="3" t="s">
        <v>10373</v>
      </c>
      <c r="D12755" s="4" t="str">
        <f>HYPERLINK("https://12go.asia/en/travel/Ha-Long-Bay-Travel/103-Ton-Duc-Thang", "12Go Link")</f>
        <v>12Go Link</v>
      </c>
      <c r="E12755" s="3" t="s">
        <v>10374</v>
      </c>
      <c r="K12755" s="5"/>
    </row>
    <row r="12756">
      <c r="A12756" s="3" t="s">
        <v>9573</v>
      </c>
      <c r="B12756" s="3" t="s">
        <v>9487</v>
      </c>
      <c r="C12756" s="3" t="s">
        <v>10375</v>
      </c>
      <c r="D12756" s="4" t="str">
        <f>HYPERLINK("https://12go.asia/en/travel/Toyota-Ha-Long/Vinh-Duc-Hospital", "12Go Link")</f>
        <v>12Go Link</v>
      </c>
      <c r="E12756" s="3" t="s">
        <v>10356</v>
      </c>
      <c r="K12756" s="5"/>
    </row>
    <row r="12757">
      <c r="A12757" s="3" t="s">
        <v>9573</v>
      </c>
      <c r="B12757" s="3" t="s">
        <v>9502</v>
      </c>
      <c r="C12757" s="3" t="s">
        <v>10376</v>
      </c>
      <c r="D12757" s="4" t="str">
        <f>HYPERLINK("https://12go.asia/en/travel/Ha-Long-Bay-Travel/78-Tran-Quang-Khai", "12Go Link")</f>
        <v>12Go Link</v>
      </c>
      <c r="E12757" s="3" t="s">
        <v>10374</v>
      </c>
      <c r="K12757" s="5"/>
    </row>
    <row r="12758">
      <c r="A12758" s="3" t="s">
        <v>9573</v>
      </c>
      <c r="B12758" s="3" t="s">
        <v>9502</v>
      </c>
      <c r="C12758" s="3" t="s">
        <v>10377</v>
      </c>
      <c r="D12758" s="4" t="str">
        <f>HYPERLINK("https://12go.asia/en/travel/Toyota-Ha-Long/Gas-Station-24", "12Go Link")</f>
        <v>12Go Link</v>
      </c>
      <c r="E12758" s="3" t="s">
        <v>10356</v>
      </c>
      <c r="K12758" s="5"/>
    </row>
    <row r="12759">
      <c r="A12759" s="3" t="s">
        <v>9573</v>
      </c>
      <c r="B12759" s="3" t="s">
        <v>9539</v>
      </c>
      <c r="C12759" s="3" t="s">
        <v>10378</v>
      </c>
      <c r="D12759" s="4" t="str">
        <f>HYPERLINK("https://12go.asia/en/travel/18A-Anh-Dao/Break-Time-Coffee", "12Go Link")</f>
        <v>12Go Link</v>
      </c>
      <c r="E12759" s="3" t="s">
        <v>10222</v>
      </c>
      <c r="K12759" s="5"/>
    </row>
    <row r="12760">
      <c r="A12760" s="3" t="s">
        <v>9573</v>
      </c>
      <c r="B12760" s="3" t="s">
        <v>9539</v>
      </c>
      <c r="C12760" s="3" t="s">
        <v>10379</v>
      </c>
      <c r="D12760" s="4" t="str">
        <f t="shared" ref="D12760:D12761" si="1951">HYPERLINK("https://12go.asia/en/travel/Ha-Long-Bay-Travel/Break-Time-Coffee", "12Go Link")</f>
        <v>12Go Link</v>
      </c>
      <c r="E12760" s="3" t="s">
        <v>10222</v>
      </c>
      <c r="K12760" s="5"/>
    </row>
    <row r="12761">
      <c r="A12761" s="3" t="s">
        <v>9573</v>
      </c>
      <c r="B12761" s="3" t="s">
        <v>9539</v>
      </c>
      <c r="C12761" s="3" t="s">
        <v>10379</v>
      </c>
      <c r="D12761" s="4" t="str">
        <f t="shared" si="1951"/>
        <v>12Go Link</v>
      </c>
      <c r="E12761" s="3" t="s">
        <v>9428</v>
      </c>
      <c r="K12761" s="5"/>
    </row>
    <row r="12762">
      <c r="A12762" s="3" t="s">
        <v>9573</v>
      </c>
      <c r="B12762" s="3" t="s">
        <v>9539</v>
      </c>
      <c r="C12762" s="3" t="s">
        <v>10380</v>
      </c>
      <c r="D12762" s="4" t="str">
        <f>HYPERLINK("https://12go.asia/en/travel/Ha-Long-Bay-Travel/Pho-Co-Hoa-Lu", "12Go Link")</f>
        <v>12Go Link</v>
      </c>
      <c r="E12762" s="3" t="s">
        <v>9513</v>
      </c>
      <c r="K12762" s="5"/>
    </row>
    <row r="12763">
      <c r="A12763" s="3" t="s">
        <v>9573</v>
      </c>
      <c r="B12763" s="3" t="s">
        <v>9539</v>
      </c>
      <c r="C12763" s="3" t="s">
        <v>10381</v>
      </c>
      <c r="D12763" s="4" t="str">
        <f>HYPERLINK("https://12go.asia/en/travel/Ha-Long-Bay-Travel/Trang-An-Boat-Station", "12Go Link")</f>
        <v>12Go Link</v>
      </c>
      <c r="E12763" s="3" t="s">
        <v>9513</v>
      </c>
      <c r="K12763" s="5"/>
    </row>
    <row r="12764">
      <c r="A12764" s="3" t="s">
        <v>9573</v>
      </c>
      <c r="B12764" s="3" t="s">
        <v>9539</v>
      </c>
      <c r="C12764" s="3" t="s">
        <v>10382</v>
      </c>
      <c r="D12764" s="4" t="str">
        <f t="shared" ref="D12764:D12765" si="1952">HYPERLINK("https://12go.asia/en/travel/Ha-Long-Happy-Travel-Tuan-Chau/Break-Time-Coffee", "12Go Link")</f>
        <v>12Go Link</v>
      </c>
      <c r="E12764" s="3" t="s">
        <v>10222</v>
      </c>
      <c r="K12764" s="5"/>
    </row>
    <row r="12765">
      <c r="A12765" s="3" t="s">
        <v>9573</v>
      </c>
      <c r="B12765" s="3" t="s">
        <v>9539</v>
      </c>
      <c r="C12765" s="3" t="s">
        <v>10382</v>
      </c>
      <c r="D12765" s="4" t="str">
        <f t="shared" si="1952"/>
        <v>12Go Link</v>
      </c>
      <c r="E12765" s="3" t="s">
        <v>9428</v>
      </c>
      <c r="K12765" s="5"/>
    </row>
    <row r="12766">
      <c r="A12766" s="3" t="s">
        <v>9573</v>
      </c>
      <c r="B12766" s="3" t="s">
        <v>9539</v>
      </c>
      <c r="C12766" s="3" t="s">
        <v>10383</v>
      </c>
      <c r="D12766" s="4" t="str">
        <f>HYPERLINK("https://12go.asia/en/travel/Ha-Long-Happy-Travel-Tuan-Chau/Pho-Co-Hoa-Lu", "12Go Link")</f>
        <v>12Go Link</v>
      </c>
      <c r="E12766" s="3" t="s">
        <v>9513</v>
      </c>
      <c r="K12766" s="5"/>
    </row>
    <row r="12767">
      <c r="A12767" s="3" t="s">
        <v>9573</v>
      </c>
      <c r="B12767" s="3" t="s">
        <v>9539</v>
      </c>
      <c r="C12767" s="3" t="s">
        <v>10384</v>
      </c>
      <c r="D12767" s="4" t="str">
        <f>HYPERLINK("https://12go.asia/en/travel/Ha-Long-Happy-Travel-Tuan-Chau/Trang-An-Boat-Station", "12Go Link")</f>
        <v>12Go Link</v>
      </c>
      <c r="E12767" s="3" t="s">
        <v>9513</v>
      </c>
      <c r="K12767" s="5"/>
    </row>
    <row r="12768">
      <c r="A12768" s="3" t="s">
        <v>9573</v>
      </c>
      <c r="B12768" s="3" t="s">
        <v>9644</v>
      </c>
      <c r="C12768" s="3" t="s">
        <v>10385</v>
      </c>
      <c r="D12768" s="4" t="str">
        <f>HYPERLINK("https://12go.asia/en/travel/Tung-Luxury-Hotel-Ha-Long/Noi-Bai-Airport", "12Go Link")</f>
        <v>12Go Link</v>
      </c>
      <c r="E12768" s="3" t="s">
        <v>9474</v>
      </c>
      <c r="K12768" s="5"/>
    </row>
    <row r="12769">
      <c r="A12769" s="3" t="s">
        <v>9573</v>
      </c>
      <c r="B12769" s="3" t="s">
        <v>9691</v>
      </c>
      <c r="C12769" s="3" t="s">
        <v>10386</v>
      </c>
      <c r="D12769" s="4" t="str">
        <f>HYPERLINK("https://12go.asia/en/travel/Ha-Long-Happy-Travel-Tuan-Chau/411-Dien-Bien-Phu", "12Go Link")</f>
        <v>12Go Link</v>
      </c>
      <c r="E12769" s="3" t="s">
        <v>10289</v>
      </c>
      <c r="K12769" s="5"/>
    </row>
    <row r="12770">
      <c r="A12770" s="3" t="s">
        <v>9573</v>
      </c>
      <c r="B12770" s="3" t="s">
        <v>9691</v>
      </c>
      <c r="C12770" s="3" t="s">
        <v>10387</v>
      </c>
      <c r="D12770" s="4" t="str">
        <f>HYPERLINK("https://12go.asia/en/travel/Toyota-Ha-Long/697-Duong-Dien-Bien-Phu", "12Go Link")</f>
        <v>12Go Link</v>
      </c>
      <c r="E12770" s="3" t="s">
        <v>10289</v>
      </c>
      <c r="K12770" s="5"/>
    </row>
    <row r="12771">
      <c r="A12771" s="3" t="s">
        <v>9573</v>
      </c>
      <c r="B12771" s="3" t="s">
        <v>9691</v>
      </c>
      <c r="C12771" s="3" t="s">
        <v>10388</v>
      </c>
      <c r="D12771" s="4" t="str">
        <f>HYPERLINK("https://12go.asia/en/travel/Toyota-Quang-Ninh/Sapa-SSB", "12Go Link")</f>
        <v>12Go Link</v>
      </c>
      <c r="E12771" s="3" t="s">
        <v>10389</v>
      </c>
      <c r="K12771" s="5"/>
    </row>
    <row r="12772">
      <c r="A12772" s="3" t="s">
        <v>9573</v>
      </c>
      <c r="B12772" s="3" t="s">
        <v>9691</v>
      </c>
      <c r="C12772" s="3" t="s">
        <v>10390</v>
      </c>
      <c r="D12772" s="4" t="str">
        <f>HYPERLINK("https://12go.asia/en/travel/Tung-Luxury-Hotel-Ha-Long/23-Le-Thanh-Street", "12Go Link")</f>
        <v>12Go Link</v>
      </c>
      <c r="E12772" s="3" t="s">
        <v>9474</v>
      </c>
      <c r="K12772" s="5"/>
    </row>
    <row r="12773">
      <c r="A12773" s="3" t="s">
        <v>9573</v>
      </c>
      <c r="B12773" s="3" t="s">
        <v>9691</v>
      </c>
      <c r="C12773" s="3" t="s">
        <v>10391</v>
      </c>
      <c r="D12773" s="4" t="str">
        <f>HYPERLINK("https://12go.asia/en/travel/Tung-Luxury-Hotel-Ha-Long/582-Duong-Dien-Bien-Phu", "12Go Link")</f>
        <v>12Go Link</v>
      </c>
      <c r="E12773" s="3" t="s">
        <v>9474</v>
      </c>
      <c r="K12773" s="5"/>
    </row>
    <row r="12774">
      <c r="A12774" s="3" t="s">
        <v>9582</v>
      </c>
      <c r="B12774" s="3" t="s">
        <v>9447</v>
      </c>
      <c r="C12774" s="3" t="s">
        <v>10392</v>
      </c>
      <c r="D12774" s="4" t="str">
        <f>HYPERLINK("https://12go.asia/en/travel/234-Tay-Son/90-Hoang-Thi-Loan", "12Go Link")</f>
        <v>12Go Link</v>
      </c>
      <c r="E12774" s="3" t="s">
        <v>9495</v>
      </c>
      <c r="K12774" s="5"/>
    </row>
    <row r="12775">
      <c r="A12775" s="3" t="s">
        <v>9582</v>
      </c>
      <c r="B12775" s="3" t="s">
        <v>9419</v>
      </c>
      <c r="C12775" s="3" t="s">
        <v>10393</v>
      </c>
      <c r="D12775" s="4" t="str">
        <f t="shared" ref="D12775:D12776" si="1953">HYPERLINK("https://12go.asia/en/travel/234-Tay-Son/Ben-xe-Mien-Tay", "12Go Link")</f>
        <v>12Go Link</v>
      </c>
      <c r="E12775" s="3" t="s">
        <v>9538</v>
      </c>
      <c r="K12775" s="5"/>
    </row>
    <row r="12776">
      <c r="A12776" s="3" t="s">
        <v>9582</v>
      </c>
      <c r="B12776" s="3" t="s">
        <v>9419</v>
      </c>
      <c r="C12776" s="3" t="s">
        <v>10393</v>
      </c>
      <c r="D12776" s="4" t="str">
        <f t="shared" si="1953"/>
        <v>12Go Link</v>
      </c>
      <c r="E12776" s="3" t="s">
        <v>9449</v>
      </c>
      <c r="K12776" s="5"/>
    </row>
    <row r="12777">
      <c r="A12777" s="3" t="s">
        <v>9582</v>
      </c>
      <c r="B12777" s="3" t="s">
        <v>9487</v>
      </c>
      <c r="C12777" s="3" t="s">
        <v>10394</v>
      </c>
      <c r="D12777" s="4" t="str">
        <f>HYPERLINK("https://12go.asia/en/travel/234-Tay-Son/Hoi-An-Hanh-Cafe", "12Go Link")</f>
        <v>12Go Link</v>
      </c>
      <c r="E12777" s="3" t="s">
        <v>9495</v>
      </c>
      <c r="K12777" s="5"/>
    </row>
    <row r="12778">
      <c r="A12778" s="3" t="s">
        <v>9582</v>
      </c>
      <c r="B12778" s="3" t="s">
        <v>9397</v>
      </c>
      <c r="C12778" s="3" t="s">
        <v>10395</v>
      </c>
      <c r="D12778" s="4" t="str">
        <f>HYPERLINK("https://12go.asia/en/travel/234-Tay-Son/32-Hung-Vuong", "12Go Link")</f>
        <v>12Go Link</v>
      </c>
      <c r="E12778" s="3" t="s">
        <v>10202</v>
      </c>
      <c r="K12778" s="5"/>
    </row>
    <row r="12779">
      <c r="A12779" s="3" t="s">
        <v>9582</v>
      </c>
      <c r="B12779" s="3" t="s">
        <v>9397</v>
      </c>
      <c r="C12779" s="3" t="s">
        <v>10396</v>
      </c>
      <c r="D12779" s="4" t="str">
        <f>HYPERLINK("https://12go.asia/en/travel/quy-nhon/gia", "12Go Link")</f>
        <v>12Go Link</v>
      </c>
      <c r="E12779" s="3" t="s">
        <v>94</v>
      </c>
      <c r="K12779" s="5"/>
    </row>
    <row r="12780">
      <c r="A12780" s="3" t="s">
        <v>9656</v>
      </c>
      <c r="B12780" s="3" t="s">
        <v>252</v>
      </c>
      <c r="C12780" s="3" t="s">
        <v>10397</v>
      </c>
      <c r="D12780" s="4" t="str">
        <f>HYPERLINK("https://12go.asia/en/travel/saigon/kien-svay", "12Go Link")</f>
        <v>12Go Link</v>
      </c>
      <c r="E12780" s="3" t="s">
        <v>8</v>
      </c>
      <c r="K12780" s="5"/>
    </row>
    <row r="12781">
      <c r="A12781" s="3" t="s">
        <v>9691</v>
      </c>
      <c r="B12781" s="3" t="s">
        <v>9605</v>
      </c>
      <c r="C12781" s="3" t="s">
        <v>10398</v>
      </c>
      <c r="D12781" s="4" t="str">
        <f t="shared" ref="D12781:D12782" si="1954">HYPERLINK("https://12go.asia/en/travel/413-Dien-Bien-Phu/Ha-Giang-Hostel", "12Go Link")</f>
        <v>12Go Link</v>
      </c>
      <c r="E12781" s="3" t="s">
        <v>9641</v>
      </c>
      <c r="K12781" s="5"/>
    </row>
    <row r="12782">
      <c r="A12782" s="3" t="s">
        <v>9691</v>
      </c>
      <c r="B12782" s="3" t="s">
        <v>9605</v>
      </c>
      <c r="C12782" s="3" t="s">
        <v>10398</v>
      </c>
      <c r="D12782" s="4" t="str">
        <f t="shared" si="1954"/>
        <v>12Go Link</v>
      </c>
      <c r="E12782" s="3" t="s">
        <v>9642</v>
      </c>
      <c r="K12782" s="5"/>
    </row>
    <row r="12783">
      <c r="A12783" s="3" t="s">
        <v>9691</v>
      </c>
      <c r="B12783" s="3" t="s">
        <v>9610</v>
      </c>
      <c r="C12783" s="3" t="s">
        <v>10399</v>
      </c>
      <c r="D12783" s="4" t="str">
        <f>HYPERLINK("https://12go.asia/en/travel/23-Le-Thanh-Street/175a-1I4-Street", "12Go Link")</f>
        <v>12Go Link</v>
      </c>
      <c r="E12783" s="3" t="s">
        <v>9474</v>
      </c>
      <c r="K12783" s="5"/>
    </row>
    <row r="12784">
      <c r="A12784" s="3" t="s">
        <v>9691</v>
      </c>
      <c r="B12784" s="3" t="s">
        <v>9610</v>
      </c>
      <c r="C12784" s="3" t="s">
        <v>10400</v>
      </c>
      <c r="D12784" s="4" t="str">
        <f>HYPERLINK("https://12go.asia/en/travel/582-Duong-Dien-Bien-Phu/175a-1I4-Street", "12Go Link")</f>
        <v>12Go Link</v>
      </c>
      <c r="E12784" s="3" t="s">
        <v>9474</v>
      </c>
      <c r="K12784" s="5"/>
    </row>
    <row r="12785">
      <c r="A12785" s="3" t="s">
        <v>9691</v>
      </c>
      <c r="B12785" s="3" t="s">
        <v>9610</v>
      </c>
      <c r="C12785" s="3" t="s">
        <v>10401</v>
      </c>
      <c r="D12785" s="4" t="str">
        <f>HYPERLINK("https://12go.asia/en/travel/582-Duong-Dien-Bien-Phu/211-Nui-Ngoc", "12Go Link")</f>
        <v>12Go Link</v>
      </c>
      <c r="E12785" s="3" t="s">
        <v>9616</v>
      </c>
      <c r="K12785" s="5"/>
    </row>
    <row r="12786">
      <c r="A12786" s="3" t="s">
        <v>9691</v>
      </c>
      <c r="B12786" s="3" t="s">
        <v>9610</v>
      </c>
      <c r="C12786" s="3" t="s">
        <v>10402</v>
      </c>
      <c r="D12786" s="4" t="str">
        <f>HYPERLINK("https://12go.asia/en/travel/Sapa-Bus-Stop/228-1I4-Street", "12Go Link")</f>
        <v>12Go Link</v>
      </c>
      <c r="E12786" s="3" t="s">
        <v>9696</v>
      </c>
      <c r="K12786" s="5"/>
    </row>
    <row r="12787">
      <c r="A12787" s="3" t="s">
        <v>9691</v>
      </c>
      <c r="B12787" s="3" t="s">
        <v>9610</v>
      </c>
      <c r="C12787" s="3" t="s">
        <v>10403</v>
      </c>
      <c r="D12787" s="4" t="str">
        <f>HYPERLINK("https://12go.asia/en/travel/Sapa-SSB/211-Nui-Ngoc", "12Go Link")</f>
        <v>12Go Link</v>
      </c>
      <c r="E12787" s="3" t="s">
        <v>9533</v>
      </c>
      <c r="K12787" s="5"/>
    </row>
    <row r="12788">
      <c r="A12788" s="3" t="s">
        <v>9691</v>
      </c>
      <c r="B12788" s="3" t="s">
        <v>9610</v>
      </c>
      <c r="C12788" s="3" t="s">
        <v>10404</v>
      </c>
      <c r="D12788" s="4" t="str">
        <f t="shared" ref="D12788:D12791" si="1955">HYPERLINK("https://12go.asia/en/travel/Sapa-SSB/61-Hung-Vuong-Street", "12Go Link")</f>
        <v>12Go Link</v>
      </c>
      <c r="E12788" s="3" t="s">
        <v>9616</v>
      </c>
      <c r="K12788" s="5"/>
    </row>
    <row r="12789">
      <c r="A12789" s="3" t="s">
        <v>9691</v>
      </c>
      <c r="B12789" s="3" t="s">
        <v>9610</v>
      </c>
      <c r="C12789" s="3" t="s">
        <v>10404</v>
      </c>
      <c r="D12789" s="4" t="str">
        <f t="shared" si="1955"/>
        <v>12Go Link</v>
      </c>
      <c r="E12789" s="3" t="s">
        <v>9617</v>
      </c>
      <c r="K12789" s="5"/>
    </row>
    <row r="12790">
      <c r="A12790" s="3" t="s">
        <v>9691</v>
      </c>
      <c r="B12790" s="3" t="s">
        <v>9610</v>
      </c>
      <c r="C12790" s="3" t="s">
        <v>10404</v>
      </c>
      <c r="D12790" s="4" t="str">
        <f t="shared" si="1955"/>
        <v>12Go Link</v>
      </c>
      <c r="E12790" s="3" t="s">
        <v>9538</v>
      </c>
      <c r="K12790" s="5"/>
    </row>
    <row r="12791">
      <c r="A12791" s="3" t="s">
        <v>9691</v>
      </c>
      <c r="B12791" s="3" t="s">
        <v>9610</v>
      </c>
      <c r="C12791" s="3" t="s">
        <v>10404</v>
      </c>
      <c r="D12791" s="4" t="str">
        <f t="shared" si="1955"/>
        <v>12Go Link</v>
      </c>
      <c r="E12791" s="3" t="s">
        <v>9450</v>
      </c>
      <c r="K12791" s="5"/>
    </row>
    <row r="12792">
      <c r="A12792" s="3" t="s">
        <v>9691</v>
      </c>
      <c r="B12792" s="3" t="s">
        <v>9610</v>
      </c>
      <c r="C12792" s="3" t="s">
        <v>10405</v>
      </c>
      <c r="D12792" s="4" t="str">
        <f t="shared" ref="D12792:D12794" si="1956">HYPERLINK("https://12go.asia/en/travel/Sapa-SSB/Cat-Ba-SSB", "12Go Link")</f>
        <v>12Go Link</v>
      </c>
      <c r="E12792" s="3" t="s">
        <v>9616</v>
      </c>
      <c r="K12792" s="5"/>
    </row>
    <row r="12793">
      <c r="A12793" s="3" t="s">
        <v>9691</v>
      </c>
      <c r="B12793" s="3" t="s">
        <v>9610</v>
      </c>
      <c r="C12793" s="3" t="s">
        <v>10405</v>
      </c>
      <c r="D12793" s="4" t="str">
        <f t="shared" si="1956"/>
        <v>12Go Link</v>
      </c>
      <c r="E12793" s="3" t="s">
        <v>9538</v>
      </c>
      <c r="K12793" s="5"/>
    </row>
    <row r="12794">
      <c r="A12794" s="3" t="s">
        <v>9691</v>
      </c>
      <c r="B12794" s="3" t="s">
        <v>9610</v>
      </c>
      <c r="C12794" s="3" t="s">
        <v>10405</v>
      </c>
      <c r="D12794" s="4" t="str">
        <f t="shared" si="1956"/>
        <v>12Go Link</v>
      </c>
      <c r="E12794" s="3" t="s">
        <v>10406</v>
      </c>
      <c r="K12794" s="5"/>
    </row>
    <row r="12795">
      <c r="A12795" s="3" t="s">
        <v>9691</v>
      </c>
      <c r="B12795" s="3" t="s">
        <v>9610</v>
      </c>
      <c r="C12795" s="3" t="s">
        <v>10407</v>
      </c>
      <c r="D12795" s="4" t="str">
        <f t="shared" ref="D12795:D12796" si="1957">HYPERLINK("https://12go.asia/en/travel/Sapa-SSB/Catba-Station-SSB", "12Go Link")</f>
        <v>12Go Link</v>
      </c>
      <c r="E12795" s="3" t="s">
        <v>9633</v>
      </c>
      <c r="K12795" s="5"/>
    </row>
    <row r="12796">
      <c r="A12796" s="3" t="s">
        <v>9691</v>
      </c>
      <c r="B12796" s="3" t="s">
        <v>9610</v>
      </c>
      <c r="C12796" s="3" t="s">
        <v>10407</v>
      </c>
      <c r="D12796" s="4" t="str">
        <f t="shared" si="1957"/>
        <v>12Go Link</v>
      </c>
      <c r="E12796" s="3" t="s">
        <v>9449</v>
      </c>
      <c r="K12796" s="5"/>
    </row>
    <row r="12797">
      <c r="A12797" s="3" t="s">
        <v>9691</v>
      </c>
      <c r="B12797" s="3" t="s">
        <v>9610</v>
      </c>
      <c r="C12797" s="3" t="s">
        <v>10408</v>
      </c>
      <c r="D12797" s="4" t="str">
        <f t="shared" ref="D12797:D12798" si="1958">HYPERLINK("https://12go.asia/en/travel/Sapa-SSB/HAIPHONG-LUXURY", "12Go Link")</f>
        <v>12Go Link</v>
      </c>
      <c r="E12797" s="3" t="s">
        <v>9633</v>
      </c>
      <c r="K12797" s="5"/>
    </row>
    <row r="12798">
      <c r="A12798" s="3" t="s">
        <v>9691</v>
      </c>
      <c r="B12798" s="3" t="s">
        <v>9610</v>
      </c>
      <c r="C12798" s="3" t="s">
        <v>10408</v>
      </c>
      <c r="D12798" s="4" t="str">
        <f t="shared" si="1958"/>
        <v>12Go Link</v>
      </c>
      <c r="E12798" s="3" t="s">
        <v>9449</v>
      </c>
      <c r="K12798" s="5"/>
    </row>
    <row r="12799">
      <c r="A12799" s="3" t="s">
        <v>9691</v>
      </c>
      <c r="B12799" s="3" t="s">
        <v>9625</v>
      </c>
      <c r="C12799" s="3" t="s">
        <v>10409</v>
      </c>
      <c r="D12799" s="4" t="str">
        <f>HYPERLINK("https://12go.asia/en/travel/23-Le-Thanh-Street/Boarding-point-Ruby-Cruise", "12Go Link")</f>
        <v>12Go Link</v>
      </c>
      <c r="E12799" s="3" t="s">
        <v>9474</v>
      </c>
      <c r="K12799" s="5"/>
    </row>
    <row r="12800">
      <c r="A12800" s="3" t="s">
        <v>9691</v>
      </c>
      <c r="B12800" s="3" t="s">
        <v>9625</v>
      </c>
      <c r="C12800" s="3" t="s">
        <v>10410</v>
      </c>
      <c r="D12800" s="4" t="str">
        <f t="shared" ref="D12800:D12803" si="1959">HYPERLINK("https://12go.asia/en/travel/582-Duong-Dien-Bien-Phu/Boarding-point-Ruby-Cruise", "12Go Link")</f>
        <v>12Go Link</v>
      </c>
      <c r="E12800" s="3" t="s">
        <v>9474</v>
      </c>
      <c r="K12800" s="5"/>
    </row>
    <row r="12801">
      <c r="A12801" s="3" t="s">
        <v>9691</v>
      </c>
      <c r="B12801" s="3" t="s">
        <v>9625</v>
      </c>
      <c r="C12801" s="3" t="s">
        <v>10410</v>
      </c>
      <c r="D12801" s="4" t="str">
        <f t="shared" si="1959"/>
        <v>12Go Link</v>
      </c>
      <c r="E12801" s="3" t="s">
        <v>9616</v>
      </c>
      <c r="K12801" s="5"/>
    </row>
    <row r="12802">
      <c r="A12802" s="3" t="s">
        <v>9691</v>
      </c>
      <c r="B12802" s="3" t="s">
        <v>9625</v>
      </c>
      <c r="C12802" s="3" t="s">
        <v>10410</v>
      </c>
      <c r="D12802" s="4" t="str">
        <f t="shared" si="1959"/>
        <v>12Go Link</v>
      </c>
      <c r="E12802" s="3" t="s">
        <v>9617</v>
      </c>
      <c r="K12802" s="5"/>
    </row>
    <row r="12803">
      <c r="A12803" s="3" t="s">
        <v>9691</v>
      </c>
      <c r="B12803" s="3" t="s">
        <v>9625</v>
      </c>
      <c r="C12803" s="3" t="s">
        <v>10410</v>
      </c>
      <c r="D12803" s="4" t="str">
        <f t="shared" si="1959"/>
        <v>12Go Link</v>
      </c>
      <c r="E12803" s="3" t="s">
        <v>9538</v>
      </c>
      <c r="K12803" s="5"/>
    </row>
    <row r="12804">
      <c r="A12804" s="3" t="s">
        <v>9691</v>
      </c>
      <c r="B12804" s="3" t="s">
        <v>9625</v>
      </c>
      <c r="C12804" s="3" t="s">
        <v>10411</v>
      </c>
      <c r="D12804" s="4" t="str">
        <f t="shared" ref="D12804:D12807" si="1960">HYPERLINK("https://12go.asia/en/travel/Sapa-SSB/Boarding-point-Ruby-Cruise", "12Go Link")</f>
        <v>12Go Link</v>
      </c>
      <c r="E12804" s="3" t="s">
        <v>9616</v>
      </c>
      <c r="K12804" s="5"/>
    </row>
    <row r="12805">
      <c r="A12805" s="3" t="s">
        <v>9691</v>
      </c>
      <c r="B12805" s="3" t="s">
        <v>9625</v>
      </c>
      <c r="C12805" s="3" t="s">
        <v>10411</v>
      </c>
      <c r="D12805" s="4" t="str">
        <f t="shared" si="1960"/>
        <v>12Go Link</v>
      </c>
      <c r="E12805" s="3" t="s">
        <v>9617</v>
      </c>
      <c r="K12805" s="5"/>
    </row>
    <row r="12806">
      <c r="A12806" s="3" t="s">
        <v>9691</v>
      </c>
      <c r="B12806" s="3" t="s">
        <v>9625</v>
      </c>
      <c r="C12806" s="3" t="s">
        <v>10411</v>
      </c>
      <c r="D12806" s="4" t="str">
        <f t="shared" si="1960"/>
        <v>12Go Link</v>
      </c>
      <c r="E12806" s="3" t="s">
        <v>9538</v>
      </c>
      <c r="K12806" s="5"/>
    </row>
    <row r="12807">
      <c r="A12807" s="3" t="s">
        <v>9691</v>
      </c>
      <c r="B12807" s="3" t="s">
        <v>9625</v>
      </c>
      <c r="C12807" s="3" t="s">
        <v>10411</v>
      </c>
      <c r="D12807" s="4" t="str">
        <f t="shared" si="1960"/>
        <v>12Go Link</v>
      </c>
      <c r="E12807" s="3" t="s">
        <v>9450</v>
      </c>
      <c r="K12807" s="5"/>
    </row>
    <row r="12808">
      <c r="A12808" s="3" t="s">
        <v>9691</v>
      </c>
      <c r="B12808" s="3" t="s">
        <v>9625</v>
      </c>
      <c r="C12808" s="3" t="s">
        <v>10412</v>
      </c>
      <c r="D12808" s="4" t="str">
        <f t="shared" ref="D12808:D12810" si="1961">HYPERLINK("https://12go.asia/en/travel/Sapa-SSB/Tuan-Chau-Luxxury-SSB", "12Go Link")</f>
        <v>12Go Link</v>
      </c>
      <c r="E12808" s="3" t="s">
        <v>9648</v>
      </c>
      <c r="K12808" s="5"/>
    </row>
    <row r="12809">
      <c r="A12809" s="3" t="s">
        <v>9691</v>
      </c>
      <c r="B12809" s="3" t="s">
        <v>9625</v>
      </c>
      <c r="C12809" s="3" t="s">
        <v>10412</v>
      </c>
      <c r="D12809" s="4" t="str">
        <f t="shared" si="1961"/>
        <v>12Go Link</v>
      </c>
      <c r="E12809" s="3" t="s">
        <v>9449</v>
      </c>
      <c r="K12809" s="5"/>
    </row>
    <row r="12810">
      <c r="A12810" s="3" t="s">
        <v>9691</v>
      </c>
      <c r="B12810" s="3" t="s">
        <v>9625</v>
      </c>
      <c r="C12810" s="3" t="s">
        <v>10412</v>
      </c>
      <c r="D12810" s="4" t="str">
        <f t="shared" si="1961"/>
        <v>12Go Link</v>
      </c>
      <c r="E12810" s="3" t="s">
        <v>9450</v>
      </c>
      <c r="K12810" s="5"/>
    </row>
    <row r="12811">
      <c r="A12811" s="3" t="s">
        <v>9691</v>
      </c>
      <c r="B12811" s="3" t="s">
        <v>9466</v>
      </c>
      <c r="C12811" s="3" t="s">
        <v>10413</v>
      </c>
      <c r="D12811" s="4" t="str">
        <f>HYPERLINK("https://12go.asia/en/travel/23-Le-Thanh-Street/04-Hang-Chinh-Maison-Mackeno", "12Go Link")</f>
        <v>12Go Link</v>
      </c>
      <c r="E12811" s="3" t="s">
        <v>9474</v>
      </c>
      <c r="K12811" s="5"/>
    </row>
    <row r="12812">
      <c r="A12812" s="3" t="s">
        <v>9691</v>
      </c>
      <c r="B12812" s="3" t="s">
        <v>9466</v>
      </c>
      <c r="C12812" s="3" t="s">
        <v>10414</v>
      </c>
      <c r="D12812" s="4" t="str">
        <f>HYPERLINK("https://12go.asia/en/travel/23-Le-Thanh-Street/16-Hang-Chinh-Hanoi", "12Go Link")</f>
        <v>12Go Link</v>
      </c>
      <c r="E12812" s="3" t="s">
        <v>9474</v>
      </c>
      <c r="K12812" s="5"/>
    </row>
    <row r="12813">
      <c r="A12813" s="3" t="s">
        <v>9691</v>
      </c>
      <c r="B12813" s="3" t="s">
        <v>9466</v>
      </c>
      <c r="C12813" s="3" t="s">
        <v>10415</v>
      </c>
      <c r="D12813" s="4" t="str">
        <f>HYPERLINK("https://12go.asia/en/travel/411-Dien-Bien-Phu/75-Vuon-Dao", "12Go Link")</f>
        <v>12Go Link</v>
      </c>
      <c r="E12813" s="3" t="s">
        <v>10289</v>
      </c>
      <c r="K12813" s="5"/>
    </row>
    <row r="12814">
      <c r="A12814" s="3" t="s">
        <v>9691</v>
      </c>
      <c r="B12814" s="3" t="s">
        <v>9466</v>
      </c>
      <c r="C12814" s="3" t="s">
        <v>10416</v>
      </c>
      <c r="D12814" s="4" t="str">
        <f t="shared" ref="D12814:D12815" si="1962">HYPERLINK("https://12go.asia/en/travel/582-Duong-Dien-Bien-Phu/04-Hang-Chinh-Maison-Mackeno", "12Go Link")</f>
        <v>12Go Link</v>
      </c>
      <c r="E12814" s="3" t="s">
        <v>9474</v>
      </c>
      <c r="K12814" s="5"/>
    </row>
    <row r="12815">
      <c r="A12815" s="3" t="s">
        <v>9691</v>
      </c>
      <c r="B12815" s="3" t="s">
        <v>9466</v>
      </c>
      <c r="C12815" s="3" t="s">
        <v>10416</v>
      </c>
      <c r="D12815" s="4" t="str">
        <f t="shared" si="1962"/>
        <v>12Go Link</v>
      </c>
      <c r="E12815" s="3" t="s">
        <v>9450</v>
      </c>
      <c r="K12815" s="5"/>
    </row>
    <row r="12816">
      <c r="A12816" s="3" t="s">
        <v>9691</v>
      </c>
      <c r="B12816" s="3" t="s">
        <v>9466</v>
      </c>
      <c r="C12816" s="3" t="s">
        <v>10417</v>
      </c>
      <c r="D12816" s="4" t="str">
        <f>HYPERLINK("https://12go.asia/en/travel/582-Duong-Dien-Bien-Phu/16-Hang-Chinh-Hanoi", "12Go Link")</f>
        <v>12Go Link</v>
      </c>
      <c r="E12816" s="3" t="s">
        <v>9474</v>
      </c>
      <c r="K12816" s="5"/>
    </row>
    <row r="12817">
      <c r="A12817" s="3" t="s">
        <v>9691</v>
      </c>
      <c r="B12817" s="3" t="s">
        <v>9466</v>
      </c>
      <c r="C12817" s="3" t="s">
        <v>10418</v>
      </c>
      <c r="D12817" s="4" t="str">
        <f>HYPERLINK("https://12go.asia/en/travel/582-Duong-Dien-Bien-Phu/Hanoi-Noi-Bai-Airport", "12Go Link")</f>
        <v>12Go Link</v>
      </c>
      <c r="E12817" s="3" t="s">
        <v>9616</v>
      </c>
      <c r="K12817" s="5"/>
    </row>
    <row r="12818">
      <c r="A12818" s="3" t="s">
        <v>9691</v>
      </c>
      <c r="B12818" s="3" t="s">
        <v>9466</v>
      </c>
      <c r="C12818" s="3" t="s">
        <v>10419</v>
      </c>
      <c r="D12818" s="4" t="str">
        <f>HYPERLINK("https://12go.asia/en/travel/Sapa-Lao-Cai/Hanoi", "12Go Link")</f>
        <v>12Go Link</v>
      </c>
      <c r="E12818" s="3" t="s">
        <v>9852</v>
      </c>
      <c r="K12818" s="5"/>
    </row>
    <row r="12819">
      <c r="A12819" s="3" t="s">
        <v>9691</v>
      </c>
      <c r="B12819" s="3" t="s">
        <v>9466</v>
      </c>
      <c r="C12819" s="3" t="s">
        <v>10420</v>
      </c>
      <c r="D12819" s="4" t="str">
        <f t="shared" ref="D12819:D12820" si="1963">HYPERLINK("https://12go.asia/en/travel/Sapa-SSB/04-Hang-Chinh-Maison-Mackeno", "12Go Link")</f>
        <v>12Go Link</v>
      </c>
      <c r="E12819" s="3" t="s">
        <v>9616</v>
      </c>
      <c r="K12819" s="5"/>
    </row>
    <row r="12820">
      <c r="A12820" s="3" t="s">
        <v>9691</v>
      </c>
      <c r="B12820" s="3" t="s">
        <v>9466</v>
      </c>
      <c r="C12820" s="3" t="s">
        <v>10420</v>
      </c>
      <c r="D12820" s="4" t="str">
        <f t="shared" si="1963"/>
        <v>12Go Link</v>
      </c>
      <c r="E12820" s="3" t="s">
        <v>9619</v>
      </c>
      <c r="K12820" s="5"/>
    </row>
    <row r="12821">
      <c r="A12821" s="3" t="s">
        <v>9691</v>
      </c>
      <c r="B12821" s="3" t="s">
        <v>9466</v>
      </c>
      <c r="C12821" s="3" t="s">
        <v>10421</v>
      </c>
      <c r="D12821" s="4" t="str">
        <f>HYPERLINK("https://12go.asia/en/travel/Sapa-SSB/114-Tran-Nhat-Duat-Street", "12Go Link")</f>
        <v>12Go Link</v>
      </c>
      <c r="E12821" s="3" t="s">
        <v>9633</v>
      </c>
      <c r="K12821" s="5"/>
    </row>
    <row r="12822">
      <c r="A12822" s="3" t="s">
        <v>9691</v>
      </c>
      <c r="B12822" s="3" t="s">
        <v>9466</v>
      </c>
      <c r="C12822" s="3" t="s">
        <v>10422</v>
      </c>
      <c r="D12822" s="4" t="str">
        <f t="shared" ref="D12822:D12824" si="1964">HYPERLINK("https://12go.asia/en/travel/Sapa-SSB/Hanoi-Noi-Bai-Airport", "12Go Link")</f>
        <v>12Go Link</v>
      </c>
      <c r="E12822" s="3" t="s">
        <v>9633</v>
      </c>
      <c r="K12822" s="5"/>
    </row>
    <row r="12823">
      <c r="A12823" s="3" t="s">
        <v>9691</v>
      </c>
      <c r="B12823" s="3" t="s">
        <v>9466</v>
      </c>
      <c r="C12823" s="3" t="s">
        <v>10422</v>
      </c>
      <c r="D12823" s="4" t="str">
        <f t="shared" si="1964"/>
        <v>12Go Link</v>
      </c>
      <c r="E12823" s="3" t="s">
        <v>9449</v>
      </c>
      <c r="K12823" s="5"/>
    </row>
    <row r="12824">
      <c r="A12824" s="3" t="s">
        <v>9691</v>
      </c>
      <c r="B12824" s="3" t="s">
        <v>9466</v>
      </c>
      <c r="C12824" s="3" t="s">
        <v>10422</v>
      </c>
      <c r="D12824" s="4" t="str">
        <f t="shared" si="1964"/>
        <v>12Go Link</v>
      </c>
      <c r="E12824" s="3" t="s">
        <v>9450</v>
      </c>
      <c r="K12824" s="5"/>
    </row>
    <row r="12825">
      <c r="A12825" s="3" t="s">
        <v>9691</v>
      </c>
      <c r="B12825" s="3" t="s">
        <v>9466</v>
      </c>
      <c r="C12825" s="3" t="s">
        <v>10423</v>
      </c>
      <c r="D12825" s="4" t="str">
        <f>HYPERLINK("https://12go.asia/en/travel/Sapa-SSB/Hanoi-SSB", "12Go Link")</f>
        <v>12Go Link</v>
      </c>
      <c r="E12825" s="3" t="s">
        <v>9450</v>
      </c>
      <c r="K12825" s="5"/>
    </row>
    <row r="12826">
      <c r="A12826" s="3" t="s">
        <v>9691</v>
      </c>
      <c r="B12826" s="3" t="s">
        <v>9539</v>
      </c>
      <c r="C12826" s="3" t="s">
        <v>10424</v>
      </c>
      <c r="D12826" s="4" t="str">
        <f>HYPERLINK("https://12go.asia/en/travel/582-Duong-Dien-Bien-Phu/Ninh-Binh-Luxury-SSB", "12Go Link")</f>
        <v>12Go Link</v>
      </c>
      <c r="E12826" s="3" t="s">
        <v>9648</v>
      </c>
      <c r="K12826" s="5"/>
    </row>
    <row r="12827">
      <c r="A12827" s="3" t="s">
        <v>9691</v>
      </c>
      <c r="B12827" s="3" t="s">
        <v>9539</v>
      </c>
      <c r="C12827" s="3" t="s">
        <v>10425</v>
      </c>
      <c r="D12827" s="4" t="str">
        <f>HYPERLINK("https://12go.asia/en/travel/697-Duong-Dien-Bien-Phu/SDT-Ninh-Binh-Office", "12Go Link")</f>
        <v>12Go Link</v>
      </c>
      <c r="E12827" s="3" t="s">
        <v>10289</v>
      </c>
      <c r="K12827" s="5"/>
    </row>
    <row r="12828">
      <c r="A12828" s="3" t="s">
        <v>9691</v>
      </c>
      <c r="B12828" s="3" t="s">
        <v>9539</v>
      </c>
      <c r="C12828" s="3" t="s">
        <v>10426</v>
      </c>
      <c r="D12828" s="4" t="str">
        <f>HYPERLINK("https://12go.asia/en/travel/Sapa-Garden-Bungalow/SDT-Ninh-Binh-Office", "12Go Link")</f>
        <v>12Go Link</v>
      </c>
      <c r="E12828" s="3" t="s">
        <v>10289</v>
      </c>
      <c r="K12828" s="5"/>
    </row>
    <row r="12829">
      <c r="A12829" s="3" t="s">
        <v>9691</v>
      </c>
      <c r="B12829" s="3" t="s">
        <v>9539</v>
      </c>
      <c r="C12829" s="3" t="s">
        <v>10427</v>
      </c>
      <c r="D12829" s="4" t="str">
        <f>HYPERLINK("https://12go.asia/en/travel/Sapa-SSB/Ninh-Binh-SSB", "12Go Link")</f>
        <v>12Go Link</v>
      </c>
      <c r="E12829" s="3" t="s">
        <v>10389</v>
      </c>
      <c r="K12829" s="5"/>
    </row>
    <row r="12830">
      <c r="A12830" s="3" t="s">
        <v>9691</v>
      </c>
      <c r="B12830" s="3" t="s">
        <v>9644</v>
      </c>
      <c r="C12830" s="3" t="s">
        <v>10428</v>
      </c>
      <c r="D12830" s="4" t="str">
        <f>HYPERLINK("https://12go.asia/en/travel/23-Le-Thanh-Street/Noi-Bai-Airport", "12Go Link")</f>
        <v>12Go Link</v>
      </c>
      <c r="E12830" s="3" t="s">
        <v>9474</v>
      </c>
      <c r="K12830" s="5"/>
    </row>
    <row r="12831">
      <c r="A12831" s="3" t="s">
        <v>9691</v>
      </c>
      <c r="B12831" s="3" t="s">
        <v>9644</v>
      </c>
      <c r="C12831" s="3" t="s">
        <v>10429</v>
      </c>
      <c r="D12831" s="4" t="str">
        <f>HYPERLINK("https://12go.asia/en/travel/582-Duong-Dien-Bien-Phu/Noi-Bai-Airport", "12Go Link")</f>
        <v>12Go Link</v>
      </c>
      <c r="E12831" s="3" t="s">
        <v>9474</v>
      </c>
      <c r="K12831" s="5"/>
    </row>
    <row r="12832">
      <c r="A12832" s="3" t="s">
        <v>9691</v>
      </c>
      <c r="B12832" s="3" t="s">
        <v>9644</v>
      </c>
      <c r="C12832" s="3" t="s">
        <v>10430</v>
      </c>
      <c r="D12832" s="4" t="str">
        <f>HYPERLINK("https://12go.asia/en/travel/Sapa-SSB/Noibai-Airport", "12Go Link")</f>
        <v>12Go Link</v>
      </c>
      <c r="E12832" s="3" t="s">
        <v>9619</v>
      </c>
      <c r="K12832" s="5"/>
    </row>
    <row r="12833">
      <c r="A12833" s="3" t="s">
        <v>9691</v>
      </c>
      <c r="B12833" s="3" t="s">
        <v>9561</v>
      </c>
      <c r="C12833" s="3" t="s">
        <v>10431</v>
      </c>
      <c r="D12833" s="4" t="str">
        <f>HYPERLINK("https://12go.asia/en/travel/Sapa-SSB/Phongnha-Luxury-SSB", "12Go Link")</f>
        <v>12Go Link</v>
      </c>
      <c r="E12833" s="3" t="s">
        <v>9648</v>
      </c>
      <c r="K12833" s="5"/>
    </row>
    <row r="12834">
      <c r="A12834" s="3" t="s">
        <v>9691</v>
      </c>
      <c r="B12834" s="3" t="s">
        <v>9573</v>
      </c>
      <c r="C12834" s="3" t="s">
        <v>10432</v>
      </c>
      <c r="D12834" s="4" t="str">
        <f>HYPERLINK("https://12go.asia/en/travel/23-Le-Thanh-Street/Tuan-Chau-Welcome-Gate", "12Go Link")</f>
        <v>12Go Link</v>
      </c>
      <c r="E12834" s="3" t="s">
        <v>9474</v>
      </c>
      <c r="K12834" s="5"/>
    </row>
    <row r="12835">
      <c r="A12835" s="3" t="s">
        <v>9691</v>
      </c>
      <c r="B12835" s="3" t="s">
        <v>9573</v>
      </c>
      <c r="C12835" s="3" t="s">
        <v>10433</v>
      </c>
      <c r="D12835" s="4" t="str">
        <f>HYPERLINK("https://12go.asia/en/travel/582-Duong-Dien-Bien-Phu/Tuan-Chau-Welcome-Gate", "12Go Link")</f>
        <v>12Go Link</v>
      </c>
      <c r="E12835" s="3" t="s">
        <v>9474</v>
      </c>
      <c r="K12835" s="5"/>
    </row>
    <row r="12836">
      <c r="A12836" s="3" t="s">
        <v>9691</v>
      </c>
      <c r="B12836" s="3" t="s">
        <v>9573</v>
      </c>
      <c r="C12836" s="3" t="s">
        <v>10434</v>
      </c>
      <c r="D12836" s="4" t="str">
        <f>HYPERLINK("https://12go.asia/en/travel/Sapa-Garden-Bungalow/Toyota-Ha-Long", "12Go Link")</f>
        <v>12Go Link</v>
      </c>
      <c r="E12836" s="3" t="s">
        <v>10289</v>
      </c>
      <c r="K12836" s="5"/>
    </row>
    <row r="12837">
      <c r="A12837" s="3" t="s">
        <v>9691</v>
      </c>
      <c r="B12837" s="3" t="s">
        <v>9573</v>
      </c>
      <c r="C12837" s="3" t="s">
        <v>10435</v>
      </c>
      <c r="D12837" s="4" t="str">
        <f>HYPERLINK("https://12go.asia/en/travel/Sapa-SSB/Toyota-Quang-Ninh", "12Go Link")</f>
        <v>12Go Link</v>
      </c>
      <c r="E12837" s="3" t="s">
        <v>10389</v>
      </c>
      <c r="K12837" s="5"/>
    </row>
    <row r="12838">
      <c r="A12838" s="3" t="s">
        <v>9691</v>
      </c>
      <c r="B12838" s="3" t="s">
        <v>10436</v>
      </c>
      <c r="C12838" s="3" t="s">
        <v>10437</v>
      </c>
      <c r="D12838" s="4" t="str">
        <f>HYPERLINK("https://12go.asia/en/travel/bao-ha/phuc-yen", "12Go Link")</f>
        <v>12Go Link</v>
      </c>
      <c r="E12838" s="3" t="s">
        <v>94</v>
      </c>
      <c r="K12838" s="5"/>
    </row>
    <row r="12839">
      <c r="A12839" s="3" t="s">
        <v>9691</v>
      </c>
      <c r="B12839" s="3" t="s">
        <v>10436</v>
      </c>
      <c r="C12839" s="3" t="s">
        <v>10438</v>
      </c>
      <c r="D12839" s="4" t="str">
        <f>HYPERLINK("https://12go.asia/en/travel/sapa-lao-cai/phuc-yen", "12Go Link")</f>
        <v>12Go Link</v>
      </c>
      <c r="E12839" s="3" t="s">
        <v>94</v>
      </c>
      <c r="K12839" s="5"/>
    </row>
    <row r="12840">
      <c r="A12840" s="3" t="s">
        <v>10439</v>
      </c>
      <c r="B12840" s="3" t="s">
        <v>9419</v>
      </c>
      <c r="C12840" s="3" t="s">
        <v>10440</v>
      </c>
      <c r="D12840" s="4" t="str">
        <f>HYPERLINK("https://12go.asia/en/travel/bim-son/ho-chi-minh-city", "12Go Link")</f>
        <v>12Go Link</v>
      </c>
      <c r="E12840" s="3" t="s">
        <v>94</v>
      </c>
      <c r="K12840" s="5"/>
    </row>
    <row r="12841">
      <c r="A12841" s="3" t="s">
        <v>10439</v>
      </c>
      <c r="B12841" s="3" t="s">
        <v>10441</v>
      </c>
      <c r="C12841" s="3" t="s">
        <v>10442</v>
      </c>
      <c r="D12841" s="4" t="str">
        <f>HYPERLINK("https://12go.asia/en/travel/thanh-hoa/nam-dinh", "12Go Link")</f>
        <v>12Go Link</v>
      </c>
      <c r="E12841" s="3" t="s">
        <v>94</v>
      </c>
      <c r="K12841" s="5"/>
    </row>
    <row r="12842">
      <c r="A12842" s="3" t="s">
        <v>10439</v>
      </c>
      <c r="B12842" s="3" t="s">
        <v>10353</v>
      </c>
      <c r="C12842" s="3" t="s">
        <v>10443</v>
      </c>
      <c r="D12842" s="4" t="str">
        <f>HYPERLINK("https://12go.asia/en/travel/bim-son/minh-le", "12Go Link")</f>
        <v>12Go Link</v>
      </c>
      <c r="E12842" s="3" t="s">
        <v>94</v>
      </c>
      <c r="K12842" s="5"/>
    </row>
    <row r="12843">
      <c r="A12843" s="3" t="s">
        <v>10436</v>
      </c>
      <c r="B12843" s="3" t="s">
        <v>9691</v>
      </c>
      <c r="C12843" s="3" t="s">
        <v>10444</v>
      </c>
      <c r="D12843" s="4" t="str">
        <f>HYPERLINK("https://12go.asia/en/travel/phuc-yen/bao-ha", "12Go Link")</f>
        <v>12Go Link</v>
      </c>
      <c r="E12843" s="3" t="s">
        <v>94</v>
      </c>
      <c r="K12843" s="5"/>
    </row>
    <row r="12844">
      <c r="A12844" s="3" t="s">
        <v>10436</v>
      </c>
      <c r="B12844" s="3" t="s">
        <v>9691</v>
      </c>
      <c r="C12844" s="3" t="s">
        <v>10445</v>
      </c>
      <c r="D12844" s="4" t="str">
        <f>HYPERLINK("https://12go.asia/en/travel/phuc-yen/sapa-lao-cai", "12Go Link")</f>
        <v>12Go Link</v>
      </c>
      <c r="E12844" s="3" t="s">
        <v>94</v>
      </c>
      <c r="K12844" s="5"/>
    </row>
    <row r="12845">
      <c r="A12845" s="3" t="s">
        <v>10436</v>
      </c>
      <c r="B12845" s="3" t="s">
        <v>9857</v>
      </c>
      <c r="C12845" s="3" t="s">
        <v>10446</v>
      </c>
      <c r="D12845" s="4" t="str">
        <f>HYPERLINK("https://12go.asia/en/travel/phuc-yen/yen-bai", "12Go Link")</f>
        <v>12Go Link</v>
      </c>
      <c r="E12845" s="3" t="s">
        <v>94</v>
      </c>
      <c r="K12845" s="5"/>
    </row>
    <row r="12846">
      <c r="K12846" s="5"/>
    </row>
    <row r="12847">
      <c r="K12847" s="5"/>
    </row>
    <row r="12848">
      <c r="K12848" s="5"/>
    </row>
    <row r="12849">
      <c r="K12849" s="5"/>
    </row>
    <row r="12850">
      <c r="K12850" s="5"/>
    </row>
    <row r="12851">
      <c r="K12851" s="5"/>
    </row>
    <row r="12852">
      <c r="K12852" s="5"/>
    </row>
    <row r="12853">
      <c r="K12853" s="5"/>
    </row>
    <row r="12854">
      <c r="K12854" s="5"/>
    </row>
    <row r="12855">
      <c r="K12855" s="5"/>
    </row>
    <row r="12856">
      <c r="K12856" s="5"/>
    </row>
    <row r="12857">
      <c r="K12857" s="5"/>
    </row>
    <row r="12858">
      <c r="K12858" s="5"/>
    </row>
    <row r="12859">
      <c r="K12859" s="5"/>
    </row>
    <row r="12860">
      <c r="K12860" s="5"/>
    </row>
    <row r="12861">
      <c r="K12861" s="5"/>
    </row>
    <row r="12862">
      <c r="K12862" s="5"/>
    </row>
    <row r="12863">
      <c r="K12863" s="5"/>
    </row>
    <row r="12864">
      <c r="K12864" s="5"/>
    </row>
    <row r="12865">
      <c r="K12865" s="5"/>
    </row>
    <row r="12866">
      <c r="K12866" s="5"/>
    </row>
    <row r="12867">
      <c r="K12867" s="5"/>
    </row>
    <row r="12868">
      <c r="K12868" s="5"/>
    </row>
    <row r="12869">
      <c r="K12869" s="5"/>
    </row>
    <row r="12870">
      <c r="K12870" s="5"/>
    </row>
    <row r="12871">
      <c r="K12871" s="5"/>
    </row>
    <row r="12872">
      <c r="K12872" s="5"/>
    </row>
    <row r="12873">
      <c r="K12873" s="5"/>
    </row>
    <row r="12874">
      <c r="K12874" s="5"/>
    </row>
    <row r="12875">
      <c r="K12875" s="5"/>
    </row>
    <row r="12876">
      <c r="K12876" s="5"/>
    </row>
    <row r="12877">
      <c r="K12877" s="5"/>
    </row>
    <row r="12878">
      <c r="K12878" s="5"/>
    </row>
    <row r="12879">
      <c r="K12879" s="5"/>
    </row>
    <row r="12880">
      <c r="K12880" s="5"/>
    </row>
    <row r="12881">
      <c r="K12881" s="5"/>
    </row>
    <row r="12882">
      <c r="K12882" s="5"/>
    </row>
    <row r="12883">
      <c r="K12883" s="5"/>
    </row>
    <row r="12884">
      <c r="K12884" s="5"/>
    </row>
    <row r="12885">
      <c r="K12885" s="5"/>
    </row>
    <row r="12886">
      <c r="K12886" s="5"/>
    </row>
    <row r="12887">
      <c r="K12887" s="5"/>
    </row>
    <row r="12888">
      <c r="K12888" s="5"/>
    </row>
    <row r="12889">
      <c r="K12889" s="5"/>
    </row>
    <row r="12890">
      <c r="K12890" s="5"/>
    </row>
    <row r="12891">
      <c r="K12891" s="5"/>
    </row>
    <row r="12892">
      <c r="K12892" s="5"/>
    </row>
    <row r="12893">
      <c r="K12893" s="5"/>
    </row>
    <row r="12894">
      <c r="K12894" s="5"/>
    </row>
    <row r="12895">
      <c r="K12895" s="5"/>
    </row>
    <row r="12896">
      <c r="K12896" s="5"/>
    </row>
    <row r="12897">
      <c r="K12897" s="5"/>
    </row>
    <row r="12898">
      <c r="K12898" s="5"/>
    </row>
    <row r="12899">
      <c r="K12899" s="5"/>
    </row>
    <row r="12900">
      <c r="K12900" s="5"/>
    </row>
    <row r="12901">
      <c r="K12901" s="5"/>
    </row>
    <row r="12902">
      <c r="K12902" s="5"/>
    </row>
    <row r="12903">
      <c r="K12903" s="5"/>
    </row>
    <row r="12904">
      <c r="K12904" s="5"/>
    </row>
    <row r="12905">
      <c r="K12905" s="5"/>
    </row>
    <row r="12906">
      <c r="K12906" s="5"/>
    </row>
    <row r="12907">
      <c r="K12907" s="5"/>
    </row>
    <row r="12908">
      <c r="K12908" s="5"/>
    </row>
    <row r="12909">
      <c r="K12909" s="5"/>
    </row>
    <row r="12910">
      <c r="K12910" s="5"/>
    </row>
    <row r="12911">
      <c r="K12911" s="5"/>
    </row>
    <row r="12912">
      <c r="K12912" s="5"/>
    </row>
    <row r="12913">
      <c r="K12913" s="5"/>
    </row>
    <row r="12914">
      <c r="K12914" s="5"/>
    </row>
    <row r="12915">
      <c r="K12915" s="5"/>
    </row>
    <row r="12916">
      <c r="K12916" s="5"/>
    </row>
    <row r="12917">
      <c r="K12917" s="5"/>
    </row>
    <row r="12918">
      <c r="K12918" s="5"/>
    </row>
    <row r="12919">
      <c r="K12919" s="5"/>
    </row>
    <row r="12920">
      <c r="K12920" s="5"/>
    </row>
    <row r="12921">
      <c r="K12921" s="5"/>
    </row>
    <row r="12922">
      <c r="K12922" s="5"/>
    </row>
    <row r="12923">
      <c r="K12923" s="5"/>
    </row>
    <row r="12924">
      <c r="K12924" s="5"/>
    </row>
    <row r="12925">
      <c r="K12925" s="5"/>
    </row>
    <row r="12926">
      <c r="K12926" s="5"/>
    </row>
    <row r="12927">
      <c r="K12927" s="5"/>
    </row>
    <row r="12928">
      <c r="K12928" s="5"/>
    </row>
    <row r="12929">
      <c r="K12929" s="5"/>
    </row>
    <row r="12930">
      <c r="K12930" s="5"/>
    </row>
    <row r="12931">
      <c r="K12931" s="5"/>
    </row>
    <row r="12932">
      <c r="K12932" s="5"/>
    </row>
    <row r="12933">
      <c r="K12933" s="5"/>
    </row>
    <row r="12934">
      <c r="K12934" s="5"/>
    </row>
    <row r="12935">
      <c r="K12935" s="5"/>
    </row>
    <row r="12936">
      <c r="K12936" s="5"/>
    </row>
    <row r="12937">
      <c r="K12937" s="5"/>
    </row>
    <row r="12938">
      <c r="K12938" s="5"/>
    </row>
    <row r="12939">
      <c r="K12939" s="5"/>
    </row>
    <row r="12940">
      <c r="K12940" s="5"/>
    </row>
    <row r="12941">
      <c r="K12941" s="5"/>
    </row>
    <row r="12942">
      <c r="K12942" s="5"/>
    </row>
    <row r="12943">
      <c r="K12943" s="5"/>
    </row>
    <row r="12944">
      <c r="K12944" s="5"/>
    </row>
    <row r="12945">
      <c r="K12945" s="5"/>
    </row>
    <row r="12946">
      <c r="K12946" s="5"/>
    </row>
    <row r="12947">
      <c r="K12947" s="5"/>
    </row>
    <row r="12948">
      <c r="K12948" s="5"/>
    </row>
    <row r="12949">
      <c r="K12949" s="5"/>
    </row>
    <row r="12950">
      <c r="K12950" s="5"/>
    </row>
    <row r="12951">
      <c r="K12951" s="5"/>
    </row>
    <row r="12952">
      <c r="K12952" s="5"/>
    </row>
    <row r="12953">
      <c r="K12953" s="5"/>
    </row>
    <row r="12954">
      <c r="K12954" s="5"/>
    </row>
    <row r="12955">
      <c r="K12955" s="5"/>
    </row>
    <row r="12956">
      <c r="K12956" s="5"/>
    </row>
    <row r="12957">
      <c r="K12957" s="5"/>
    </row>
    <row r="12958">
      <c r="K12958" s="5"/>
    </row>
    <row r="12959">
      <c r="K12959" s="5"/>
    </row>
    <row r="12960">
      <c r="K12960" s="5"/>
    </row>
    <row r="12961">
      <c r="K12961" s="5"/>
    </row>
    <row r="12962">
      <c r="K12962" s="5"/>
    </row>
    <row r="12963">
      <c r="K12963" s="5"/>
    </row>
    <row r="12964">
      <c r="K12964" s="5"/>
    </row>
    <row r="12965">
      <c r="K12965" s="5"/>
    </row>
    <row r="12966">
      <c r="K12966" s="5"/>
    </row>
    <row r="12967">
      <c r="K12967" s="5"/>
    </row>
    <row r="12968">
      <c r="K12968" s="5"/>
    </row>
    <row r="12969">
      <c r="K12969" s="5"/>
    </row>
    <row r="12970">
      <c r="K12970" s="5"/>
    </row>
    <row r="12971">
      <c r="K12971" s="5"/>
    </row>
    <row r="12972">
      <c r="K12972" s="5"/>
    </row>
    <row r="12973">
      <c r="K12973" s="5"/>
    </row>
    <row r="12974">
      <c r="K12974" s="5"/>
    </row>
    <row r="12975">
      <c r="K12975" s="5"/>
    </row>
    <row r="12976">
      <c r="K12976" s="5"/>
    </row>
    <row r="12977">
      <c r="K12977" s="5"/>
    </row>
    <row r="12978">
      <c r="K12978" s="5"/>
    </row>
    <row r="12979">
      <c r="K12979" s="5"/>
    </row>
    <row r="12980">
      <c r="K12980" s="5"/>
    </row>
    <row r="12981">
      <c r="K12981" s="5"/>
    </row>
    <row r="12982">
      <c r="K12982" s="5"/>
    </row>
    <row r="12983">
      <c r="K12983" s="5"/>
    </row>
    <row r="12984">
      <c r="K12984" s="5"/>
    </row>
    <row r="12985">
      <c r="K12985" s="5"/>
    </row>
    <row r="12986">
      <c r="K12986" s="5"/>
    </row>
    <row r="12987">
      <c r="K12987" s="5"/>
    </row>
    <row r="12988">
      <c r="K12988" s="5"/>
    </row>
    <row r="12989">
      <c r="K12989" s="5"/>
    </row>
    <row r="12990">
      <c r="K12990" s="5"/>
    </row>
    <row r="12991">
      <c r="K12991" s="5"/>
    </row>
    <row r="12992">
      <c r="K12992" s="5"/>
    </row>
    <row r="12993">
      <c r="K12993" s="5"/>
    </row>
    <row r="12994">
      <c r="K12994" s="5"/>
    </row>
    <row r="12995">
      <c r="K12995" s="5"/>
    </row>
    <row r="12996">
      <c r="K12996" s="5"/>
    </row>
    <row r="12997">
      <c r="K12997" s="5"/>
    </row>
    <row r="12998">
      <c r="K12998" s="5"/>
    </row>
    <row r="12999">
      <c r="K12999" s="5"/>
    </row>
    <row r="13000">
      <c r="K13000" s="5"/>
    </row>
    <row r="13001">
      <c r="K13001" s="5"/>
    </row>
    <row r="13002">
      <c r="K13002" s="5"/>
    </row>
    <row r="13003">
      <c r="K13003" s="5"/>
    </row>
    <row r="13004">
      <c r="K13004" s="5"/>
    </row>
    <row r="13005">
      <c r="K13005" s="5"/>
    </row>
    <row r="13006">
      <c r="K13006" s="5"/>
    </row>
    <row r="13007">
      <c r="K13007" s="5"/>
    </row>
    <row r="13008">
      <c r="K13008" s="5"/>
    </row>
    <row r="13009">
      <c r="K13009" s="5"/>
    </row>
    <row r="13010">
      <c r="K13010" s="5"/>
    </row>
    <row r="13011">
      <c r="K13011" s="5"/>
    </row>
    <row r="13012">
      <c r="K13012" s="5"/>
    </row>
    <row r="13013">
      <c r="K13013" s="5"/>
    </row>
    <row r="13014">
      <c r="K13014" s="5"/>
    </row>
    <row r="13015">
      <c r="K13015" s="5"/>
    </row>
    <row r="13016">
      <c r="K13016" s="5"/>
    </row>
    <row r="13017">
      <c r="K13017" s="5"/>
    </row>
    <row r="13018">
      <c r="K13018" s="5"/>
    </row>
    <row r="13019">
      <c r="K13019" s="5"/>
    </row>
    <row r="13020">
      <c r="K13020" s="5"/>
    </row>
    <row r="13021">
      <c r="K13021" s="5"/>
    </row>
    <row r="13022">
      <c r="K13022" s="5"/>
    </row>
    <row r="13023">
      <c r="K13023" s="5"/>
    </row>
    <row r="13024">
      <c r="K13024" s="5"/>
    </row>
    <row r="13025">
      <c r="K13025" s="5"/>
    </row>
    <row r="13026">
      <c r="K13026" s="5"/>
    </row>
    <row r="13027">
      <c r="K13027" s="5"/>
    </row>
    <row r="13028">
      <c r="K13028" s="5"/>
    </row>
    <row r="13029">
      <c r="K13029" s="5"/>
    </row>
    <row r="13030">
      <c r="K13030" s="5"/>
    </row>
    <row r="13031">
      <c r="K13031" s="5"/>
    </row>
    <row r="13032">
      <c r="K13032" s="5"/>
    </row>
    <row r="13033">
      <c r="K13033" s="5"/>
    </row>
    <row r="13034">
      <c r="K13034" s="5"/>
    </row>
    <row r="13035">
      <c r="K13035" s="5"/>
    </row>
    <row r="13036">
      <c r="K13036" s="5"/>
    </row>
    <row r="13037">
      <c r="K13037" s="5"/>
    </row>
    <row r="13038">
      <c r="K13038" s="5"/>
    </row>
    <row r="13039">
      <c r="K13039" s="5"/>
    </row>
    <row r="13040">
      <c r="K13040" s="5"/>
    </row>
    <row r="13041">
      <c r="K13041" s="5"/>
    </row>
    <row r="13042">
      <c r="K13042" s="5"/>
    </row>
    <row r="13043">
      <c r="K13043" s="5"/>
    </row>
    <row r="13044">
      <c r="K13044" s="5"/>
    </row>
    <row r="13045">
      <c r="K13045" s="5"/>
    </row>
    <row r="13046">
      <c r="K13046" s="5"/>
    </row>
    <row r="13047">
      <c r="K13047" s="5"/>
    </row>
    <row r="13048">
      <c r="K13048" s="5"/>
    </row>
    <row r="13049">
      <c r="K13049" s="5"/>
    </row>
    <row r="13050">
      <c r="K13050" s="5"/>
    </row>
    <row r="13051">
      <c r="K13051" s="5"/>
    </row>
    <row r="13052">
      <c r="K13052" s="5"/>
    </row>
    <row r="13053">
      <c r="K13053" s="5"/>
    </row>
    <row r="13054">
      <c r="K13054" s="5"/>
    </row>
    <row r="13055">
      <c r="K13055" s="5"/>
    </row>
    <row r="13056">
      <c r="K13056" s="5"/>
    </row>
    <row r="13057">
      <c r="K13057" s="5"/>
    </row>
    <row r="13058">
      <c r="K13058" s="5"/>
    </row>
    <row r="13059">
      <c r="K13059" s="5"/>
    </row>
    <row r="13060">
      <c r="K13060" s="5"/>
    </row>
    <row r="13061">
      <c r="K13061" s="5"/>
    </row>
    <row r="13062">
      <c r="K13062" s="5"/>
    </row>
    <row r="13063">
      <c r="K13063" s="5"/>
    </row>
    <row r="13064">
      <c r="K13064" s="5"/>
    </row>
    <row r="13065">
      <c r="K13065" s="5"/>
    </row>
    <row r="13066">
      <c r="A13066" s="3"/>
      <c r="B13066" s="3"/>
      <c r="C13066" s="3"/>
      <c r="D13066" s="4"/>
      <c r="E13066" s="3"/>
    </row>
    <row r="13067">
      <c r="A13067" s="3"/>
      <c r="B13067" s="3"/>
      <c r="C13067" s="3"/>
      <c r="D13067" s="4"/>
      <c r="E13067" s="3"/>
    </row>
    <row r="13068">
      <c r="A13068" s="3"/>
      <c r="B13068" s="3"/>
      <c r="C13068" s="3"/>
      <c r="D13068" s="4"/>
      <c r="E13068" s="3"/>
    </row>
    <row r="13069">
      <c r="A13069" s="3"/>
      <c r="B13069" s="3"/>
      <c r="C13069" s="3"/>
      <c r="D13069" s="4"/>
      <c r="E13069" s="3"/>
    </row>
    <row r="13070">
      <c r="A13070" s="3"/>
      <c r="B13070" s="3"/>
      <c r="C13070" s="3"/>
      <c r="D13070" s="4"/>
      <c r="E13070" s="3"/>
    </row>
    <row r="13071">
      <c r="A13071" s="3"/>
      <c r="B13071" s="3"/>
      <c r="C13071" s="3"/>
      <c r="D13071" s="4"/>
      <c r="E13071" s="3"/>
    </row>
    <row r="13072">
      <c r="A13072" s="3"/>
      <c r="B13072" s="3"/>
      <c r="C13072" s="3"/>
      <c r="D13072" s="4"/>
      <c r="E13072" s="3"/>
    </row>
    <row r="13073">
      <c r="A13073" s="3"/>
      <c r="B13073" s="3"/>
      <c r="C13073" s="3"/>
      <c r="D13073" s="4"/>
      <c r="E13073" s="3"/>
    </row>
    <row r="13074">
      <c r="A13074" s="3"/>
      <c r="B13074" s="3"/>
      <c r="C13074" s="3"/>
      <c r="D13074" s="4"/>
      <c r="E13074" s="3"/>
    </row>
    <row r="13075">
      <c r="A13075" s="3"/>
      <c r="B13075" s="3"/>
      <c r="C13075" s="3"/>
      <c r="D13075" s="4"/>
      <c r="E13075" s="3"/>
    </row>
    <row r="13076">
      <c r="A13076" s="3"/>
      <c r="B13076" s="3"/>
      <c r="C13076" s="3"/>
      <c r="D13076" s="4"/>
      <c r="E13076" s="3"/>
    </row>
    <row r="13077">
      <c r="A13077" s="3"/>
      <c r="B13077" s="3"/>
      <c r="C13077" s="3"/>
      <c r="D13077" s="4"/>
      <c r="E13077" s="3"/>
    </row>
    <row r="13078">
      <c r="A13078" s="3"/>
      <c r="B13078" s="3"/>
      <c r="C13078" s="3"/>
      <c r="D13078" s="4"/>
      <c r="E13078" s="3"/>
    </row>
    <row r="13079">
      <c r="A13079" s="3"/>
      <c r="B13079" s="3"/>
      <c r="C13079" s="3"/>
      <c r="D13079" s="4"/>
      <c r="E13079" s="3"/>
    </row>
    <row r="13080">
      <c r="A13080" s="3"/>
      <c r="B13080" s="3"/>
      <c r="C13080" s="3"/>
      <c r="D13080" s="4"/>
      <c r="E13080" s="3"/>
    </row>
    <row r="13081">
      <c r="A13081" s="3"/>
      <c r="B13081" s="3"/>
      <c r="C13081" s="3"/>
      <c r="D13081" s="4"/>
      <c r="E13081" s="3"/>
    </row>
    <row r="13082">
      <c r="A13082" s="3"/>
      <c r="B13082" s="3"/>
      <c r="C13082" s="3"/>
      <c r="D13082" s="4"/>
      <c r="E13082" s="3"/>
    </row>
    <row r="13083">
      <c r="A13083" s="3"/>
      <c r="B13083" s="3"/>
      <c r="C13083" s="3"/>
      <c r="D13083" s="4"/>
      <c r="E13083" s="3"/>
    </row>
    <row r="13084">
      <c r="A13084" s="3"/>
      <c r="B13084" s="3"/>
      <c r="C13084" s="3"/>
      <c r="D13084" s="4"/>
      <c r="E13084" s="3"/>
    </row>
    <row r="13085">
      <c r="A13085" s="3"/>
      <c r="B13085" s="3"/>
      <c r="C13085" s="3"/>
      <c r="D13085" s="4"/>
      <c r="E13085" s="3"/>
    </row>
    <row r="13086">
      <c r="A13086" s="3"/>
      <c r="B13086" s="3"/>
      <c r="C13086" s="3"/>
      <c r="D13086" s="4"/>
      <c r="E13086" s="3"/>
    </row>
    <row r="13087">
      <c r="A13087" s="3"/>
      <c r="B13087" s="3"/>
      <c r="C13087" s="3"/>
      <c r="D13087" s="4"/>
      <c r="E13087" s="3"/>
    </row>
    <row r="13088">
      <c r="A13088" s="3"/>
      <c r="B13088" s="3"/>
      <c r="C13088" s="3"/>
      <c r="D13088" s="4"/>
      <c r="E13088" s="3"/>
    </row>
    <row r="13089">
      <c r="A13089" s="3"/>
      <c r="B13089" s="3"/>
      <c r="C13089" s="3"/>
      <c r="D13089" s="4"/>
      <c r="E13089" s="3"/>
    </row>
    <row r="13090">
      <c r="A13090" s="3"/>
      <c r="B13090" s="3"/>
      <c r="C13090" s="3"/>
      <c r="D13090" s="4"/>
      <c r="E13090" s="3"/>
    </row>
    <row r="13091">
      <c r="A13091" s="3"/>
      <c r="B13091" s="3"/>
      <c r="C13091" s="3"/>
      <c r="D13091" s="4"/>
      <c r="E13091" s="3"/>
    </row>
    <row r="13092">
      <c r="A13092" s="3"/>
      <c r="B13092" s="3"/>
      <c r="C13092" s="3"/>
      <c r="D13092" s="4"/>
      <c r="E13092" s="3"/>
    </row>
    <row r="13093">
      <c r="A13093" s="3"/>
      <c r="B13093" s="3"/>
      <c r="C13093" s="3"/>
      <c r="D13093" s="4"/>
      <c r="E13093" s="3"/>
    </row>
    <row r="13094">
      <c r="A13094" s="3"/>
      <c r="B13094" s="3"/>
      <c r="C13094" s="3"/>
      <c r="D13094" s="4"/>
      <c r="E13094" s="3"/>
    </row>
    <row r="13095">
      <c r="A13095" s="3"/>
      <c r="B13095" s="3"/>
      <c r="C13095" s="3"/>
      <c r="D13095" s="4"/>
      <c r="E13095" s="3"/>
    </row>
    <row r="13096">
      <c r="A13096" s="3"/>
      <c r="B13096" s="3"/>
      <c r="C13096" s="3"/>
      <c r="D13096" s="4"/>
      <c r="E13096" s="3"/>
    </row>
    <row r="13097">
      <c r="A13097" s="3"/>
      <c r="B13097" s="3"/>
      <c r="C13097" s="3"/>
      <c r="D13097" s="4"/>
      <c r="E13097" s="3"/>
    </row>
    <row r="13098">
      <c r="A13098" s="3"/>
      <c r="B13098" s="3"/>
      <c r="C13098" s="3"/>
      <c r="D13098" s="4"/>
      <c r="E13098" s="3"/>
    </row>
    <row r="13099">
      <c r="A13099" s="3"/>
      <c r="B13099" s="3"/>
      <c r="C13099" s="3"/>
      <c r="D13099" s="4"/>
      <c r="E13099" s="3"/>
    </row>
    <row r="13100">
      <c r="A13100" s="3"/>
      <c r="B13100" s="3"/>
      <c r="C13100" s="3"/>
      <c r="D13100" s="4"/>
      <c r="E13100" s="3"/>
    </row>
    <row r="13101">
      <c r="A13101" s="3"/>
      <c r="B13101" s="3"/>
      <c r="C13101" s="3"/>
      <c r="D13101" s="4"/>
      <c r="E13101" s="3"/>
    </row>
    <row r="13102">
      <c r="A13102" s="3"/>
      <c r="B13102" s="3"/>
      <c r="C13102" s="3"/>
      <c r="D13102" s="4"/>
      <c r="E13102" s="3"/>
    </row>
    <row r="13103">
      <c r="A13103" s="3"/>
      <c r="B13103" s="3"/>
      <c r="C13103" s="3"/>
      <c r="D13103" s="4"/>
      <c r="E13103" s="3"/>
    </row>
    <row r="13104">
      <c r="A13104" s="3"/>
      <c r="B13104" s="3"/>
      <c r="C13104" s="3"/>
      <c r="D13104" s="4"/>
      <c r="E13104" s="3"/>
    </row>
    <row r="13105">
      <c r="A13105" s="3"/>
      <c r="B13105" s="3"/>
      <c r="C13105" s="3"/>
      <c r="D13105" s="4"/>
      <c r="E13105" s="3"/>
    </row>
    <row r="13106">
      <c r="A13106" s="3"/>
      <c r="B13106" s="3"/>
      <c r="C13106" s="3"/>
      <c r="D13106" s="4"/>
      <c r="E13106" s="3"/>
    </row>
    <row r="13107">
      <c r="A13107" s="3"/>
      <c r="B13107" s="3"/>
      <c r="C13107" s="3"/>
      <c r="D13107" s="4"/>
      <c r="E13107" s="3"/>
    </row>
    <row r="13108">
      <c r="A13108" s="3"/>
      <c r="B13108" s="3"/>
      <c r="C13108" s="3"/>
      <c r="D13108" s="4"/>
      <c r="E13108" s="3"/>
    </row>
    <row r="13109">
      <c r="A13109" s="3"/>
      <c r="B13109" s="3"/>
      <c r="C13109" s="3"/>
      <c r="D13109" s="4"/>
      <c r="E13109" s="3"/>
    </row>
    <row r="13110">
      <c r="A13110" s="3"/>
      <c r="B13110" s="3"/>
      <c r="C13110" s="3"/>
      <c r="D13110" s="4"/>
      <c r="E13110" s="3"/>
    </row>
    <row r="13111">
      <c r="A13111" s="3"/>
      <c r="B13111" s="3"/>
      <c r="C13111" s="3"/>
      <c r="D13111" s="4"/>
      <c r="E13111" s="3"/>
    </row>
    <row r="13112">
      <c r="A13112" s="3"/>
      <c r="B13112" s="3"/>
      <c r="C13112" s="3"/>
      <c r="D13112" s="4"/>
      <c r="E13112" s="3"/>
    </row>
    <row r="13113">
      <c r="A13113" s="3"/>
      <c r="B13113" s="3"/>
      <c r="C13113" s="3"/>
      <c r="D13113" s="4"/>
      <c r="E13113" s="3"/>
    </row>
    <row r="13114">
      <c r="A13114" s="3"/>
      <c r="B13114" s="3"/>
      <c r="C13114" s="3"/>
      <c r="D13114" s="4"/>
      <c r="E13114" s="3"/>
    </row>
    <row r="13115">
      <c r="A13115" s="3"/>
      <c r="B13115" s="3"/>
      <c r="C13115" s="3"/>
      <c r="D13115" s="4"/>
      <c r="E13115" s="3"/>
    </row>
    <row r="13116">
      <c r="A13116" s="3"/>
      <c r="B13116" s="3"/>
      <c r="C13116" s="3"/>
      <c r="D13116" s="4"/>
      <c r="E13116" s="3"/>
    </row>
    <row r="13117">
      <c r="A13117" s="3"/>
      <c r="B13117" s="3"/>
      <c r="C13117" s="3"/>
      <c r="D13117" s="4"/>
      <c r="E13117" s="3"/>
    </row>
    <row r="13118">
      <c r="A13118" s="3"/>
      <c r="B13118" s="3"/>
      <c r="C13118" s="3"/>
      <c r="D13118" s="4"/>
      <c r="E13118" s="3"/>
    </row>
    <row r="13119">
      <c r="A13119" s="3"/>
      <c r="B13119" s="3"/>
      <c r="C13119" s="3"/>
      <c r="D13119" s="4"/>
      <c r="E13119" s="3"/>
    </row>
    <row r="13120">
      <c r="A13120" s="3"/>
      <c r="B13120" s="3"/>
      <c r="C13120" s="3"/>
      <c r="D13120" s="4"/>
      <c r="E13120" s="3"/>
    </row>
    <row r="13121">
      <c r="A13121" s="3"/>
      <c r="B13121" s="3"/>
      <c r="C13121" s="3"/>
      <c r="D13121" s="4"/>
      <c r="E13121" s="3"/>
    </row>
    <row r="13122">
      <c r="A13122" s="3"/>
      <c r="B13122" s="3"/>
      <c r="C13122" s="3"/>
      <c r="D13122" s="4"/>
      <c r="E13122" s="3"/>
    </row>
    <row r="13123">
      <c r="A13123" s="3"/>
      <c r="B13123" s="3"/>
      <c r="C13123" s="3"/>
      <c r="D13123" s="4"/>
      <c r="E13123" s="3"/>
    </row>
    <row r="13124">
      <c r="A13124" s="3"/>
      <c r="B13124" s="3"/>
      <c r="C13124" s="3"/>
      <c r="D13124" s="4"/>
      <c r="E13124" s="3"/>
    </row>
    <row r="13125">
      <c r="A13125" s="3"/>
      <c r="B13125" s="3"/>
      <c r="C13125" s="3"/>
      <c r="D13125" s="4"/>
      <c r="E13125" s="3"/>
    </row>
    <row r="13126">
      <c r="A13126" s="3"/>
      <c r="B13126" s="3"/>
      <c r="C13126" s="3"/>
      <c r="D13126" s="4"/>
      <c r="E13126" s="3"/>
    </row>
    <row r="13127">
      <c r="A13127" s="3"/>
      <c r="B13127" s="3"/>
      <c r="C13127" s="3"/>
      <c r="D13127" s="4"/>
      <c r="E13127" s="3"/>
    </row>
    <row r="13128">
      <c r="A13128" s="3"/>
      <c r="B13128" s="3"/>
      <c r="C13128" s="3"/>
      <c r="D13128" s="4"/>
      <c r="E13128" s="3"/>
    </row>
    <row r="13129">
      <c r="A13129" s="3"/>
      <c r="B13129" s="3"/>
      <c r="C13129" s="3"/>
      <c r="D13129" s="4"/>
      <c r="E13129" s="3"/>
    </row>
    <row r="13130">
      <c r="A13130" s="3"/>
      <c r="B13130" s="3"/>
      <c r="C13130" s="3"/>
      <c r="D13130" s="4"/>
      <c r="E13130" s="3"/>
    </row>
    <row r="13131">
      <c r="A13131" s="3"/>
      <c r="B13131" s="3"/>
      <c r="C13131" s="3"/>
      <c r="D13131" s="4"/>
      <c r="E13131" s="3"/>
    </row>
    <row r="13132">
      <c r="A13132" s="3"/>
      <c r="B13132" s="3"/>
      <c r="C13132" s="3"/>
      <c r="D13132" s="4"/>
      <c r="E13132" s="3"/>
    </row>
    <row r="13133">
      <c r="A13133" s="3"/>
      <c r="B13133" s="3"/>
      <c r="C13133" s="3"/>
      <c r="D13133" s="4"/>
      <c r="E13133" s="3"/>
    </row>
    <row r="13134">
      <c r="A13134" s="3"/>
      <c r="B13134" s="3"/>
      <c r="C13134" s="3"/>
      <c r="D13134" s="4"/>
      <c r="E13134" s="3"/>
    </row>
    <row r="13135">
      <c r="A13135" s="3"/>
      <c r="B13135" s="3"/>
      <c r="C13135" s="3"/>
      <c r="D13135" s="4"/>
      <c r="E13135" s="3"/>
    </row>
    <row r="13136">
      <c r="A13136" s="3"/>
      <c r="B13136" s="3"/>
      <c r="C13136" s="3"/>
      <c r="D13136" s="4"/>
      <c r="E13136" s="3"/>
    </row>
    <row r="13137">
      <c r="A13137" s="3"/>
      <c r="B13137" s="3"/>
      <c r="C13137" s="3"/>
      <c r="D13137" s="4"/>
      <c r="E13137" s="3"/>
    </row>
    <row r="13138">
      <c r="A13138" s="3"/>
      <c r="B13138" s="3"/>
      <c r="C13138" s="3"/>
      <c r="D13138" s="4"/>
      <c r="E13138" s="3"/>
    </row>
    <row r="13139">
      <c r="A13139" s="3"/>
      <c r="B13139" s="3"/>
      <c r="C13139" s="3"/>
      <c r="D13139" s="4"/>
      <c r="E13139" s="3"/>
    </row>
    <row r="13140">
      <c r="A13140" s="3"/>
      <c r="B13140" s="3"/>
      <c r="C13140" s="3"/>
      <c r="D13140" s="4"/>
      <c r="E13140" s="3"/>
    </row>
    <row r="13141">
      <c r="A13141" s="3"/>
      <c r="B13141" s="3"/>
      <c r="C13141" s="3"/>
      <c r="D13141" s="4"/>
      <c r="E13141" s="3"/>
    </row>
    <row r="13142">
      <c r="A13142" s="3"/>
      <c r="B13142" s="3"/>
      <c r="C13142" s="3"/>
      <c r="D13142" s="4"/>
      <c r="E13142" s="3"/>
    </row>
    <row r="13143">
      <c r="A13143" s="3"/>
      <c r="B13143" s="3"/>
      <c r="C13143" s="3"/>
      <c r="D13143" s="4"/>
      <c r="E13143" s="3"/>
    </row>
    <row r="13144">
      <c r="A13144" s="3"/>
      <c r="B13144" s="3"/>
      <c r="C13144" s="3"/>
      <c r="D13144" s="4"/>
      <c r="E13144" s="3"/>
    </row>
    <row r="13145">
      <c r="A13145" s="3"/>
      <c r="B13145" s="3"/>
      <c r="C13145" s="3"/>
      <c r="D13145" s="4"/>
      <c r="E13145" s="3"/>
    </row>
    <row r="13146">
      <c r="A13146" s="3"/>
      <c r="B13146" s="3"/>
      <c r="C13146" s="3"/>
      <c r="D13146" s="4"/>
      <c r="E13146" s="3"/>
    </row>
    <row r="13147">
      <c r="A13147" s="3"/>
      <c r="B13147" s="3"/>
      <c r="C13147" s="3"/>
      <c r="D13147" s="4"/>
      <c r="E13147" s="3"/>
    </row>
    <row r="13148">
      <c r="A13148" s="3"/>
      <c r="B13148" s="3"/>
      <c r="C13148" s="3"/>
      <c r="D13148" s="4"/>
      <c r="E13148" s="3"/>
    </row>
    <row r="13149">
      <c r="A13149" s="3"/>
      <c r="B13149" s="3"/>
      <c r="C13149" s="3"/>
      <c r="D13149" s="4"/>
      <c r="E13149" s="3"/>
    </row>
    <row r="13150">
      <c r="A13150" s="3"/>
      <c r="B13150" s="3"/>
      <c r="C13150" s="3"/>
      <c r="D13150" s="4"/>
      <c r="E13150" s="3"/>
    </row>
    <row r="13151">
      <c r="A13151" s="3"/>
      <c r="B13151" s="3"/>
      <c r="C13151" s="3"/>
      <c r="D13151" s="4"/>
      <c r="E13151" s="3"/>
    </row>
    <row r="13152">
      <c r="A13152" s="3"/>
      <c r="B13152" s="3"/>
      <c r="C13152" s="3"/>
      <c r="D13152" s="4"/>
      <c r="E13152" s="3"/>
    </row>
    <row r="13153">
      <c r="A13153" s="3"/>
      <c r="B13153" s="3"/>
      <c r="C13153" s="3"/>
      <c r="D13153" s="4"/>
      <c r="E13153" s="3"/>
    </row>
    <row r="13154">
      <c r="A13154" s="3"/>
      <c r="B13154" s="3"/>
      <c r="C13154" s="3"/>
      <c r="D13154" s="4"/>
      <c r="E13154" s="3"/>
    </row>
    <row r="13155">
      <c r="A13155" s="3"/>
      <c r="B13155" s="3"/>
      <c r="C13155" s="3"/>
      <c r="D13155" s="4"/>
      <c r="E13155" s="3"/>
    </row>
    <row r="13156">
      <c r="A13156" s="3"/>
      <c r="B13156" s="3"/>
      <c r="C13156" s="3"/>
      <c r="D13156" s="4"/>
      <c r="E13156" s="3"/>
    </row>
    <row r="13157">
      <c r="A13157" s="3"/>
      <c r="B13157" s="3"/>
      <c r="C13157" s="3"/>
      <c r="D13157" s="4"/>
      <c r="E13157" s="3"/>
    </row>
    <row r="13158">
      <c r="A13158" s="3"/>
      <c r="B13158" s="3"/>
      <c r="C13158" s="3"/>
      <c r="D13158" s="4"/>
      <c r="E13158" s="3"/>
    </row>
    <row r="13159">
      <c r="A13159" s="3"/>
      <c r="B13159" s="3"/>
      <c r="C13159" s="3"/>
      <c r="D13159" s="4"/>
      <c r="E13159" s="3"/>
    </row>
    <row r="13160">
      <c r="A13160" s="3"/>
      <c r="B13160" s="3"/>
      <c r="C13160" s="3"/>
      <c r="D13160" s="4"/>
      <c r="E13160" s="3"/>
    </row>
    <row r="13161">
      <c r="A13161" s="3"/>
      <c r="B13161" s="3"/>
      <c r="C13161" s="3"/>
      <c r="D13161" s="4"/>
      <c r="E13161" s="3"/>
    </row>
    <row r="13162">
      <c r="A13162" s="3"/>
      <c r="B13162" s="3"/>
      <c r="C13162" s="3"/>
      <c r="D13162" s="4"/>
      <c r="E13162" s="3"/>
    </row>
    <row r="13163">
      <c r="A13163" s="3"/>
      <c r="B13163" s="3"/>
      <c r="C13163" s="3"/>
      <c r="D13163" s="4"/>
      <c r="E13163" s="3"/>
    </row>
    <row r="13164">
      <c r="A13164" s="3"/>
      <c r="B13164" s="3"/>
      <c r="C13164" s="3"/>
      <c r="D13164" s="4"/>
      <c r="E13164" s="3"/>
    </row>
    <row r="13165">
      <c r="A13165" s="3"/>
      <c r="B13165" s="3"/>
      <c r="C13165" s="3"/>
      <c r="D13165" s="4"/>
      <c r="E13165" s="3"/>
    </row>
    <row r="13166">
      <c r="A13166" s="3"/>
      <c r="B13166" s="3"/>
      <c r="C13166" s="3"/>
      <c r="D13166" s="4"/>
      <c r="E13166" s="3"/>
    </row>
    <row r="13167">
      <c r="A13167" s="3"/>
      <c r="B13167" s="3"/>
      <c r="C13167" s="3"/>
      <c r="D13167" s="4"/>
      <c r="E13167" s="3"/>
    </row>
    <row r="13168">
      <c r="A13168" s="3"/>
      <c r="B13168" s="3"/>
      <c r="C13168" s="3"/>
      <c r="D13168" s="4"/>
      <c r="E13168" s="3"/>
    </row>
    <row r="13169">
      <c r="A13169" s="3"/>
      <c r="B13169" s="3"/>
      <c r="C13169" s="3"/>
      <c r="D13169" s="4"/>
      <c r="E13169" s="3"/>
    </row>
    <row r="13170">
      <c r="A13170" s="3"/>
      <c r="B13170" s="3"/>
      <c r="C13170" s="3"/>
      <c r="D13170" s="4"/>
      <c r="E13170" s="3"/>
    </row>
    <row r="13171">
      <c r="A13171" s="3"/>
      <c r="B13171" s="3"/>
      <c r="C13171" s="3"/>
      <c r="D13171" s="4"/>
      <c r="E13171" s="3"/>
    </row>
    <row r="13172">
      <c r="A13172" s="3"/>
      <c r="B13172" s="3"/>
      <c r="C13172" s="3"/>
      <c r="D13172" s="4"/>
      <c r="E13172" s="3"/>
    </row>
    <row r="13173">
      <c r="A13173" s="3"/>
      <c r="B13173" s="3"/>
      <c r="C13173" s="3"/>
      <c r="D13173" s="4"/>
      <c r="E13173" s="3"/>
    </row>
    <row r="13174">
      <c r="A13174" s="3"/>
      <c r="B13174" s="3"/>
      <c r="C13174" s="3"/>
      <c r="D13174" s="4"/>
      <c r="E13174" s="3"/>
    </row>
    <row r="13175">
      <c r="A13175" s="3"/>
      <c r="B13175" s="3"/>
      <c r="C13175" s="3"/>
      <c r="D13175" s="4"/>
      <c r="E13175" s="3"/>
    </row>
    <row r="13176">
      <c r="A13176" s="3"/>
      <c r="B13176" s="3"/>
      <c r="C13176" s="3"/>
      <c r="D13176" s="4"/>
      <c r="E13176" s="3"/>
    </row>
    <row r="13177">
      <c r="A13177" s="3"/>
      <c r="B13177" s="3"/>
      <c r="C13177" s="3"/>
      <c r="D13177" s="4"/>
      <c r="E13177" s="3"/>
    </row>
    <row r="13178">
      <c r="A13178" s="3"/>
      <c r="B13178" s="3"/>
      <c r="C13178" s="3"/>
      <c r="D13178" s="4"/>
      <c r="E13178" s="3"/>
    </row>
    <row r="13179">
      <c r="A13179" s="3"/>
      <c r="B13179" s="3"/>
      <c r="C13179" s="3"/>
      <c r="D13179" s="4"/>
      <c r="E13179" s="3"/>
    </row>
    <row r="13180">
      <c r="A13180" s="3"/>
      <c r="B13180" s="3"/>
      <c r="C13180" s="3"/>
      <c r="D13180" s="4"/>
      <c r="E13180" s="3"/>
    </row>
    <row r="13181">
      <c r="A13181" s="3"/>
      <c r="B13181" s="3"/>
      <c r="C13181" s="3"/>
      <c r="D13181" s="4"/>
      <c r="E13181" s="3"/>
    </row>
    <row r="13182">
      <c r="A13182" s="3"/>
      <c r="B13182" s="3"/>
      <c r="C13182" s="3"/>
      <c r="D13182" s="4"/>
      <c r="E13182" s="3"/>
    </row>
    <row r="13183">
      <c r="A13183" s="3"/>
      <c r="B13183" s="3"/>
      <c r="C13183" s="3"/>
      <c r="D13183" s="4"/>
      <c r="E13183" s="3"/>
    </row>
    <row r="13184">
      <c r="A13184" s="3"/>
      <c r="B13184" s="3"/>
      <c r="C13184" s="3"/>
      <c r="D13184" s="4"/>
      <c r="E13184" s="3"/>
    </row>
    <row r="13185">
      <c r="A13185" s="3"/>
      <c r="B13185" s="3"/>
      <c r="C13185" s="3"/>
      <c r="D13185" s="4"/>
      <c r="E13185" s="3"/>
    </row>
    <row r="13186">
      <c r="A13186" s="3"/>
      <c r="B13186" s="3"/>
      <c r="C13186" s="3"/>
      <c r="D13186" s="4"/>
      <c r="E13186" s="3"/>
    </row>
    <row r="13187">
      <c r="A13187" s="3"/>
      <c r="B13187" s="3"/>
      <c r="C13187" s="3"/>
      <c r="D13187" s="4"/>
      <c r="E13187" s="3"/>
    </row>
    <row r="13188">
      <c r="A13188" s="3"/>
      <c r="B13188" s="3"/>
      <c r="C13188" s="3"/>
      <c r="D13188" s="4"/>
      <c r="E13188" s="3"/>
    </row>
    <row r="13189">
      <c r="A13189" s="3"/>
      <c r="B13189" s="3"/>
      <c r="C13189" s="3"/>
      <c r="D13189" s="4"/>
      <c r="E13189" s="3"/>
    </row>
    <row r="13190">
      <c r="A13190" s="3"/>
      <c r="B13190" s="3"/>
      <c r="C13190" s="3"/>
      <c r="D13190" s="4"/>
      <c r="E13190" s="3"/>
    </row>
    <row r="13191">
      <c r="A13191" s="3"/>
      <c r="B13191" s="3"/>
      <c r="C13191" s="3"/>
      <c r="D13191" s="4"/>
      <c r="E13191" s="3"/>
    </row>
    <row r="13192">
      <c r="A13192" s="3"/>
      <c r="B13192" s="3"/>
      <c r="C13192" s="3"/>
      <c r="D13192" s="4"/>
      <c r="E13192" s="3"/>
    </row>
    <row r="13193">
      <c r="A13193" s="3"/>
      <c r="B13193" s="3"/>
      <c r="C13193" s="3"/>
      <c r="D13193" s="4"/>
      <c r="E13193" s="3"/>
    </row>
    <row r="13194">
      <c r="A13194" s="3"/>
      <c r="B13194" s="3"/>
      <c r="C13194" s="3"/>
      <c r="D13194" s="4"/>
      <c r="E13194" s="3"/>
    </row>
    <row r="13195">
      <c r="A13195" s="3"/>
      <c r="B13195" s="3"/>
      <c r="C13195" s="3"/>
      <c r="D13195" s="4"/>
      <c r="E13195" s="3"/>
    </row>
    <row r="13196">
      <c r="A13196" s="3"/>
      <c r="B13196" s="3"/>
      <c r="C13196" s="3"/>
      <c r="D13196" s="4"/>
      <c r="E13196" s="3"/>
    </row>
    <row r="13197">
      <c r="A13197" s="3"/>
      <c r="B13197" s="3"/>
      <c r="C13197" s="3"/>
      <c r="D13197" s="4"/>
      <c r="E13197" s="3"/>
    </row>
    <row r="13198">
      <c r="A13198" s="3"/>
      <c r="B13198" s="3"/>
      <c r="C13198" s="3"/>
      <c r="D13198" s="4"/>
      <c r="E13198" s="3"/>
    </row>
    <row r="13199">
      <c r="A13199" s="3"/>
      <c r="B13199" s="3"/>
      <c r="C13199" s="3"/>
      <c r="D13199" s="4"/>
      <c r="E13199" s="3"/>
    </row>
    <row r="13200">
      <c r="A13200" s="3"/>
      <c r="B13200" s="3"/>
      <c r="C13200" s="3"/>
      <c r="D13200" s="4"/>
      <c r="E13200" s="3"/>
    </row>
    <row r="13201">
      <c r="A13201" s="3"/>
      <c r="B13201" s="3"/>
      <c r="C13201" s="3"/>
      <c r="D13201" s="4"/>
      <c r="E13201" s="3"/>
    </row>
    <row r="13202">
      <c r="A13202" s="3"/>
      <c r="B13202" s="3"/>
      <c r="C13202" s="3"/>
      <c r="D13202" s="4"/>
      <c r="E13202" s="3"/>
    </row>
    <row r="13203">
      <c r="A13203" s="3"/>
      <c r="B13203" s="3"/>
      <c r="C13203" s="3"/>
      <c r="D13203" s="4"/>
      <c r="E13203" s="3"/>
    </row>
    <row r="13204">
      <c r="A13204" s="3"/>
      <c r="B13204" s="3"/>
      <c r="C13204" s="3"/>
      <c r="D13204" s="4"/>
      <c r="E13204" s="3"/>
    </row>
    <row r="13205">
      <c r="A13205" s="3"/>
      <c r="B13205" s="3"/>
      <c r="C13205" s="3"/>
      <c r="D13205" s="4"/>
      <c r="E13205" s="3"/>
    </row>
    <row r="13206">
      <c r="A13206" s="3"/>
      <c r="B13206" s="3"/>
      <c r="C13206" s="3"/>
      <c r="D13206" s="4"/>
      <c r="E13206" s="3"/>
    </row>
    <row r="13207">
      <c r="A13207" s="3"/>
      <c r="B13207" s="3"/>
      <c r="C13207" s="3"/>
      <c r="D13207" s="4"/>
      <c r="E13207" s="3"/>
    </row>
    <row r="13208">
      <c r="A13208" s="3"/>
      <c r="B13208" s="3"/>
      <c r="C13208" s="3"/>
      <c r="D13208" s="4"/>
      <c r="E13208" s="3"/>
    </row>
    <row r="13209">
      <c r="A13209" s="3"/>
      <c r="B13209" s="3"/>
      <c r="C13209" s="3"/>
      <c r="D13209" s="4"/>
      <c r="E13209" s="3"/>
    </row>
    <row r="13210">
      <c r="A13210" s="3"/>
      <c r="B13210" s="3"/>
      <c r="C13210" s="3"/>
      <c r="D13210" s="4"/>
      <c r="E13210" s="3"/>
    </row>
    <row r="13211">
      <c r="A13211" s="3"/>
      <c r="B13211" s="3"/>
      <c r="C13211" s="3"/>
      <c r="D13211" s="4"/>
      <c r="E13211" s="3"/>
    </row>
    <row r="13212">
      <c r="A13212" s="3"/>
      <c r="B13212" s="3"/>
      <c r="C13212" s="3"/>
      <c r="D13212" s="4"/>
      <c r="E13212" s="3"/>
    </row>
    <row r="13213">
      <c r="A13213" s="3"/>
      <c r="B13213" s="3"/>
      <c r="C13213" s="3"/>
      <c r="D13213" s="4"/>
      <c r="E13213" s="3"/>
    </row>
    <row r="13214">
      <c r="A13214" s="3"/>
      <c r="B13214" s="3"/>
      <c r="C13214" s="3"/>
      <c r="D13214" s="4"/>
      <c r="E13214" s="3"/>
    </row>
    <row r="13215">
      <c r="A13215" s="3"/>
      <c r="B13215" s="3"/>
      <c r="C13215" s="3"/>
      <c r="D13215" s="4"/>
      <c r="E13215" s="3"/>
    </row>
    <row r="13216">
      <c r="A13216" s="3"/>
      <c r="B13216" s="3"/>
      <c r="C13216" s="3"/>
      <c r="D13216" s="4"/>
      <c r="E13216" s="3"/>
    </row>
    <row r="13217">
      <c r="A13217" s="3"/>
      <c r="B13217" s="3"/>
      <c r="C13217" s="3"/>
      <c r="D13217" s="4"/>
      <c r="E13217" s="3"/>
    </row>
    <row r="13218">
      <c r="A13218" s="3"/>
      <c r="B13218" s="3"/>
      <c r="C13218" s="3"/>
      <c r="D13218" s="4"/>
      <c r="E13218" s="3"/>
    </row>
    <row r="13219">
      <c r="A13219" s="3"/>
      <c r="B13219" s="3"/>
      <c r="C13219" s="3"/>
      <c r="D13219" s="4"/>
      <c r="E13219" s="3"/>
    </row>
    <row r="13220">
      <c r="A13220" s="3"/>
      <c r="B13220" s="3"/>
      <c r="C13220" s="3"/>
      <c r="D13220" s="4"/>
      <c r="E13220" s="3"/>
    </row>
    <row r="13221">
      <c r="A13221" s="3"/>
      <c r="B13221" s="3"/>
      <c r="C13221" s="3"/>
      <c r="D13221" s="4"/>
      <c r="E13221" s="3"/>
    </row>
    <row r="13222">
      <c r="A13222" s="3"/>
      <c r="B13222" s="3"/>
      <c r="C13222" s="3"/>
      <c r="D13222" s="4"/>
      <c r="E13222" s="3"/>
    </row>
    <row r="13223">
      <c r="A13223" s="3"/>
      <c r="B13223" s="3"/>
      <c r="C13223" s="3"/>
      <c r="D13223" s="4"/>
      <c r="E13223" s="3"/>
    </row>
    <row r="13224">
      <c r="A13224" s="3"/>
      <c r="B13224" s="3"/>
      <c r="C13224" s="3"/>
      <c r="D13224" s="4"/>
      <c r="E13224" s="3"/>
    </row>
    <row r="13225">
      <c r="A13225" s="3"/>
      <c r="B13225" s="3"/>
      <c r="C13225" s="3"/>
      <c r="D13225" s="4"/>
      <c r="E13225" s="3"/>
    </row>
    <row r="13226">
      <c r="A13226" s="3"/>
      <c r="B13226" s="3"/>
      <c r="C13226" s="3"/>
      <c r="D13226" s="4"/>
      <c r="E13226" s="3"/>
    </row>
    <row r="13227">
      <c r="A13227" s="3"/>
      <c r="B13227" s="3"/>
      <c r="C13227" s="3"/>
      <c r="D13227" s="4"/>
      <c r="E13227" s="3"/>
    </row>
    <row r="13228">
      <c r="A13228" s="3"/>
      <c r="B13228" s="3"/>
      <c r="C13228" s="3"/>
      <c r="D13228" s="4"/>
      <c r="E13228" s="3"/>
    </row>
    <row r="13229">
      <c r="A13229" s="3"/>
      <c r="B13229" s="3"/>
      <c r="C13229" s="3"/>
      <c r="D13229" s="4"/>
      <c r="E13229" s="3"/>
    </row>
    <row r="13230">
      <c r="A13230" s="3"/>
      <c r="B13230" s="3"/>
      <c r="C13230" s="3"/>
      <c r="D13230" s="4"/>
      <c r="E13230" s="3"/>
    </row>
    <row r="13231">
      <c r="A13231" s="3"/>
      <c r="B13231" s="3"/>
      <c r="C13231" s="3"/>
      <c r="D13231" s="4"/>
      <c r="E13231" s="3"/>
    </row>
    <row r="13232">
      <c r="A13232" s="3"/>
      <c r="B13232" s="3"/>
      <c r="C13232" s="3"/>
      <c r="D13232" s="4"/>
      <c r="E13232" s="3"/>
    </row>
    <row r="13233">
      <c r="A13233" s="3"/>
      <c r="B13233" s="3"/>
      <c r="C13233" s="3"/>
      <c r="D13233" s="4"/>
      <c r="E13233" s="3"/>
    </row>
    <row r="13234">
      <c r="A13234" s="3"/>
      <c r="B13234" s="3"/>
      <c r="C13234" s="3"/>
      <c r="D13234" s="4"/>
      <c r="E13234" s="3"/>
    </row>
    <row r="13235">
      <c r="A13235" s="3"/>
      <c r="B13235" s="3"/>
      <c r="C13235" s="3"/>
      <c r="D13235" s="4"/>
      <c r="E13235" s="3"/>
    </row>
    <row r="13236">
      <c r="A13236" s="3"/>
      <c r="B13236" s="3"/>
      <c r="C13236" s="3"/>
      <c r="D13236" s="4"/>
      <c r="E13236" s="3"/>
    </row>
    <row r="13237">
      <c r="A13237" s="3"/>
      <c r="B13237" s="3"/>
      <c r="C13237" s="3"/>
      <c r="D13237" s="4"/>
      <c r="E13237" s="3"/>
    </row>
    <row r="13238">
      <c r="A13238" s="3"/>
      <c r="B13238" s="3"/>
      <c r="C13238" s="3"/>
      <c r="D13238" s="4"/>
      <c r="E13238" s="3"/>
    </row>
    <row r="13239">
      <c r="A13239" s="3"/>
      <c r="B13239" s="3"/>
      <c r="C13239" s="3"/>
      <c r="D13239" s="4"/>
      <c r="E13239" s="3"/>
    </row>
    <row r="13240">
      <c r="A13240" s="3"/>
      <c r="B13240" s="3"/>
      <c r="C13240" s="3"/>
      <c r="D13240" s="4"/>
      <c r="E13240" s="3"/>
    </row>
    <row r="13241">
      <c r="A13241" s="3"/>
      <c r="B13241" s="3"/>
      <c r="C13241" s="3"/>
      <c r="D13241" s="4"/>
      <c r="E13241" s="3"/>
    </row>
    <row r="13242">
      <c r="A13242" s="3"/>
      <c r="B13242" s="3"/>
      <c r="C13242" s="3"/>
      <c r="D13242" s="4"/>
      <c r="E13242" s="3"/>
    </row>
    <row r="13243">
      <c r="A13243" s="3"/>
      <c r="B13243" s="3"/>
      <c r="C13243" s="3"/>
      <c r="D13243" s="4"/>
      <c r="E13243" s="3"/>
    </row>
    <row r="13244">
      <c r="A13244" s="3"/>
      <c r="B13244" s="3"/>
      <c r="C13244" s="3"/>
      <c r="D13244" s="4"/>
      <c r="E13244" s="3"/>
    </row>
    <row r="13245">
      <c r="A13245" s="3"/>
      <c r="B13245" s="3"/>
      <c r="C13245" s="3"/>
      <c r="D13245" s="4"/>
      <c r="E13245" s="3"/>
    </row>
    <row r="13246">
      <c r="A13246" s="3"/>
      <c r="B13246" s="3"/>
      <c r="C13246" s="3"/>
      <c r="D13246" s="4"/>
      <c r="E13246" s="3"/>
    </row>
    <row r="13247">
      <c r="A13247" s="3"/>
      <c r="B13247" s="3"/>
      <c r="C13247" s="3"/>
      <c r="D13247" s="4"/>
      <c r="E13247" s="3"/>
    </row>
    <row r="13248">
      <c r="A13248" s="3"/>
      <c r="B13248" s="3"/>
      <c r="C13248" s="3"/>
      <c r="D13248" s="4"/>
      <c r="E13248" s="3"/>
    </row>
    <row r="13249">
      <c r="A13249" s="3"/>
      <c r="B13249" s="3"/>
      <c r="C13249" s="3"/>
      <c r="D13249" s="4"/>
      <c r="E13249" s="3"/>
    </row>
    <row r="13250">
      <c r="A13250" s="3"/>
      <c r="B13250" s="3"/>
      <c r="C13250" s="3"/>
      <c r="D13250" s="4"/>
      <c r="E13250" s="3"/>
    </row>
    <row r="13251">
      <c r="A13251" s="3"/>
      <c r="B13251" s="3"/>
      <c r="C13251" s="3"/>
      <c r="D13251" s="4"/>
      <c r="E13251" s="3"/>
    </row>
    <row r="13252">
      <c r="A13252" s="3"/>
      <c r="B13252" s="3"/>
      <c r="C13252" s="3"/>
      <c r="D13252" s="4"/>
      <c r="E13252" s="3"/>
    </row>
    <row r="13253">
      <c r="A13253" s="3"/>
      <c r="B13253" s="3"/>
      <c r="C13253" s="3"/>
      <c r="D13253" s="4"/>
      <c r="E13253" s="3"/>
    </row>
    <row r="13254">
      <c r="A13254" s="3"/>
      <c r="B13254" s="3"/>
      <c r="C13254" s="3"/>
      <c r="D13254" s="4"/>
      <c r="E13254" s="3"/>
    </row>
    <row r="13255">
      <c r="A13255" s="3"/>
      <c r="B13255" s="3"/>
      <c r="C13255" s="3"/>
      <c r="D13255" s="4"/>
      <c r="E13255" s="3"/>
    </row>
    <row r="13256">
      <c r="A13256" s="3"/>
      <c r="B13256" s="3"/>
      <c r="C13256" s="3"/>
      <c r="D13256" s="4"/>
      <c r="E13256" s="3"/>
    </row>
    <row r="13257">
      <c r="A13257" s="3"/>
      <c r="B13257" s="3"/>
      <c r="C13257" s="3"/>
      <c r="D13257" s="4"/>
      <c r="E13257" s="3"/>
    </row>
    <row r="13258">
      <c r="A13258" s="3"/>
      <c r="B13258" s="3"/>
      <c r="C13258" s="3"/>
      <c r="D13258" s="4"/>
      <c r="E13258" s="3"/>
    </row>
    <row r="13259">
      <c r="A13259" s="3"/>
      <c r="B13259" s="3"/>
      <c r="C13259" s="3"/>
      <c r="D13259" s="4"/>
      <c r="E13259" s="3"/>
    </row>
    <row r="13260">
      <c r="A13260" s="3"/>
      <c r="B13260" s="3"/>
      <c r="C13260" s="3"/>
      <c r="D13260" s="4"/>
      <c r="E13260" s="3"/>
    </row>
    <row r="13261">
      <c r="A13261" s="3"/>
      <c r="B13261" s="3"/>
      <c r="C13261" s="3"/>
      <c r="D13261" s="4"/>
      <c r="E13261" s="3"/>
    </row>
    <row r="13262">
      <c r="A13262" s="3"/>
      <c r="B13262" s="3"/>
      <c r="C13262" s="3"/>
      <c r="D13262" s="4"/>
      <c r="E13262" s="3"/>
    </row>
    <row r="13263">
      <c r="A13263" s="3"/>
      <c r="B13263" s="3"/>
      <c r="C13263" s="3"/>
      <c r="D13263" s="4"/>
      <c r="E13263" s="3"/>
    </row>
    <row r="13264">
      <c r="A13264" s="3"/>
      <c r="B13264" s="3"/>
      <c r="C13264" s="3"/>
      <c r="D13264" s="4"/>
      <c r="E13264" s="3"/>
    </row>
    <row r="13265">
      <c r="A13265" s="3"/>
      <c r="B13265" s="3"/>
      <c r="C13265" s="3"/>
      <c r="D13265" s="4"/>
      <c r="E13265" s="3"/>
    </row>
    <row r="13266">
      <c r="A13266" s="3"/>
      <c r="B13266" s="3"/>
      <c r="C13266" s="3"/>
      <c r="D13266" s="4"/>
      <c r="E13266" s="3"/>
    </row>
    <row r="13267">
      <c r="A13267" s="3"/>
      <c r="B13267" s="3"/>
      <c r="C13267" s="3"/>
      <c r="D13267" s="4"/>
      <c r="E13267" s="3"/>
    </row>
    <row r="13268">
      <c r="A13268" s="3"/>
      <c r="B13268" s="3"/>
      <c r="C13268" s="3"/>
      <c r="D13268" s="4"/>
      <c r="E13268" s="3"/>
    </row>
    <row r="13269">
      <c r="A13269" s="3"/>
      <c r="B13269" s="3"/>
      <c r="C13269" s="3"/>
      <c r="D13269" s="4"/>
      <c r="E13269" s="3"/>
    </row>
    <row r="13270">
      <c r="A13270" s="3"/>
      <c r="B13270" s="3"/>
      <c r="C13270" s="3"/>
      <c r="D13270" s="4"/>
      <c r="E13270" s="3"/>
    </row>
    <row r="13271">
      <c r="A13271" s="3"/>
      <c r="B13271" s="3"/>
      <c r="C13271" s="3"/>
      <c r="D13271" s="4"/>
      <c r="E13271" s="3"/>
    </row>
    <row r="13272">
      <c r="A13272" s="3"/>
      <c r="B13272" s="3"/>
      <c r="C13272" s="3"/>
      <c r="D13272" s="4"/>
      <c r="E13272" s="3"/>
    </row>
    <row r="13273">
      <c r="A13273" s="3"/>
      <c r="B13273" s="3"/>
      <c r="C13273" s="3"/>
      <c r="D13273" s="4"/>
      <c r="E13273" s="3"/>
    </row>
    <row r="13274">
      <c r="A13274" s="3"/>
      <c r="B13274" s="3"/>
      <c r="C13274" s="3"/>
      <c r="D13274" s="4"/>
      <c r="E13274" s="3"/>
    </row>
    <row r="13275">
      <c r="A13275" s="3"/>
      <c r="B13275" s="3"/>
      <c r="C13275" s="3"/>
      <c r="D13275" s="4"/>
      <c r="E13275" s="3"/>
    </row>
    <row r="13276">
      <c r="A13276" s="3"/>
      <c r="B13276" s="3"/>
      <c r="C13276" s="3"/>
      <c r="D13276" s="4"/>
      <c r="E13276" s="3"/>
    </row>
    <row r="13277">
      <c r="A13277" s="3"/>
      <c r="B13277" s="3"/>
      <c r="C13277" s="3"/>
      <c r="D13277" s="4"/>
      <c r="E13277" s="3"/>
    </row>
    <row r="13278">
      <c r="A13278" s="3"/>
      <c r="B13278" s="3"/>
      <c r="C13278" s="3"/>
      <c r="D13278" s="4"/>
      <c r="E13278" s="3"/>
    </row>
    <row r="13279">
      <c r="A13279" s="3"/>
      <c r="B13279" s="3"/>
      <c r="C13279" s="3"/>
      <c r="D13279" s="4"/>
      <c r="E13279" s="3"/>
    </row>
    <row r="13280">
      <c r="A13280" s="3"/>
      <c r="B13280" s="3"/>
      <c r="C13280" s="3"/>
      <c r="D13280" s="4"/>
      <c r="E13280" s="3"/>
    </row>
    <row r="13281">
      <c r="A13281" s="3"/>
      <c r="B13281" s="3"/>
      <c r="C13281" s="3"/>
      <c r="D13281" s="4"/>
      <c r="E13281" s="3"/>
    </row>
    <row r="13282">
      <c r="A13282" s="3"/>
      <c r="B13282" s="3"/>
      <c r="C13282" s="3"/>
      <c r="D13282" s="4"/>
      <c r="E13282" s="3"/>
    </row>
    <row r="13283">
      <c r="A13283" s="3"/>
      <c r="B13283" s="3"/>
      <c r="C13283" s="3"/>
      <c r="D13283" s="4"/>
      <c r="E13283" s="3"/>
    </row>
    <row r="13284">
      <c r="A13284" s="3"/>
      <c r="B13284" s="3"/>
      <c r="C13284" s="3"/>
      <c r="D13284" s="4"/>
      <c r="E13284" s="3"/>
    </row>
    <row r="13285">
      <c r="A13285" s="3"/>
      <c r="B13285" s="3"/>
      <c r="C13285" s="3"/>
      <c r="D13285" s="4"/>
      <c r="E13285" s="3"/>
    </row>
    <row r="13286">
      <c r="A13286" s="3"/>
      <c r="B13286" s="3"/>
      <c r="C13286" s="3"/>
      <c r="D13286" s="4"/>
      <c r="E13286" s="3"/>
    </row>
    <row r="13287">
      <c r="A13287" s="3"/>
      <c r="B13287" s="3"/>
      <c r="C13287" s="3"/>
      <c r="D13287" s="4"/>
      <c r="E13287" s="3"/>
    </row>
    <row r="13288">
      <c r="A13288" s="3"/>
      <c r="B13288" s="3"/>
      <c r="C13288" s="3"/>
      <c r="D13288" s="4"/>
      <c r="E13288" s="3"/>
    </row>
    <row r="13289">
      <c r="A13289" s="3"/>
      <c r="B13289" s="3"/>
      <c r="C13289" s="3"/>
      <c r="D13289" s="4"/>
      <c r="E13289" s="3"/>
    </row>
    <row r="13290">
      <c r="A13290" s="3"/>
      <c r="B13290" s="3"/>
      <c r="C13290" s="3"/>
      <c r="D13290" s="4"/>
      <c r="E13290" s="3"/>
    </row>
    <row r="13291">
      <c r="A13291" s="3"/>
      <c r="B13291" s="3"/>
      <c r="C13291" s="3"/>
      <c r="D13291" s="4"/>
      <c r="E13291" s="3"/>
    </row>
    <row r="13292">
      <c r="A13292" s="3"/>
      <c r="B13292" s="3"/>
      <c r="C13292" s="3"/>
      <c r="D13292" s="4"/>
      <c r="E13292" s="3"/>
    </row>
    <row r="13293">
      <c r="A13293" s="3"/>
      <c r="B13293" s="3"/>
      <c r="C13293" s="3"/>
      <c r="D13293" s="4"/>
      <c r="E13293" s="3"/>
    </row>
    <row r="13294">
      <c r="A13294" s="3"/>
      <c r="B13294" s="3"/>
      <c r="C13294" s="3"/>
      <c r="D13294" s="4"/>
      <c r="E13294" s="3"/>
    </row>
    <row r="13295">
      <c r="A13295" s="3"/>
      <c r="B13295" s="3"/>
      <c r="C13295" s="3"/>
      <c r="D13295" s="4"/>
      <c r="E13295" s="3"/>
    </row>
    <row r="13296">
      <c r="A13296" s="3"/>
      <c r="B13296" s="3"/>
      <c r="C13296" s="3"/>
      <c r="D13296" s="4"/>
      <c r="E13296" s="3"/>
    </row>
    <row r="13297">
      <c r="A13297" s="3"/>
      <c r="B13297" s="3"/>
      <c r="C13297" s="3"/>
      <c r="D13297" s="4"/>
      <c r="E13297" s="3"/>
    </row>
    <row r="13298">
      <c r="A13298" s="3"/>
      <c r="B13298" s="3"/>
      <c r="C13298" s="3"/>
      <c r="D13298" s="4"/>
      <c r="E13298" s="3"/>
    </row>
    <row r="13299">
      <c r="A13299" s="3"/>
      <c r="B13299" s="3"/>
      <c r="C13299" s="3"/>
      <c r="D13299" s="4"/>
      <c r="E13299" s="3"/>
    </row>
    <row r="13300">
      <c r="A13300" s="3"/>
      <c r="B13300" s="3"/>
      <c r="C13300" s="3"/>
      <c r="D13300" s="4"/>
      <c r="E13300" s="3"/>
    </row>
    <row r="13301">
      <c r="A13301" s="3"/>
      <c r="B13301" s="3"/>
      <c r="C13301" s="3"/>
      <c r="D13301" s="4"/>
      <c r="E13301" s="3"/>
    </row>
    <row r="13302">
      <c r="A13302" s="3"/>
      <c r="B13302" s="3"/>
      <c r="C13302" s="3"/>
      <c r="D13302" s="4"/>
      <c r="E13302" s="3"/>
    </row>
    <row r="13303">
      <c r="A13303" s="3"/>
      <c r="B13303" s="3"/>
      <c r="C13303" s="3"/>
      <c r="D13303" s="4"/>
      <c r="E13303" s="3"/>
    </row>
    <row r="13304">
      <c r="A13304" s="3"/>
      <c r="B13304" s="3"/>
      <c r="C13304" s="3"/>
      <c r="D13304" s="4"/>
      <c r="E13304" s="3"/>
    </row>
    <row r="13305">
      <c r="A13305" s="3"/>
      <c r="B13305" s="3"/>
      <c r="C13305" s="3"/>
      <c r="D13305" s="4"/>
      <c r="E13305" s="3"/>
    </row>
    <row r="13306">
      <c r="A13306" s="3"/>
      <c r="B13306" s="3"/>
      <c r="C13306" s="3"/>
      <c r="D13306" s="4"/>
      <c r="E13306" s="3"/>
    </row>
    <row r="13307">
      <c r="A13307" s="3"/>
      <c r="B13307" s="3"/>
      <c r="C13307" s="3"/>
      <c r="D13307" s="4"/>
      <c r="E13307" s="3"/>
    </row>
    <row r="13308">
      <c r="A13308" s="3"/>
      <c r="B13308" s="3"/>
      <c r="C13308" s="3"/>
      <c r="D13308" s="4"/>
      <c r="E13308" s="3"/>
    </row>
    <row r="13309">
      <c r="A13309" s="3"/>
      <c r="B13309" s="3"/>
      <c r="C13309" s="3"/>
      <c r="D13309" s="4"/>
      <c r="E13309" s="3"/>
    </row>
    <row r="13310">
      <c r="A13310" s="3"/>
      <c r="B13310" s="3"/>
      <c r="C13310" s="3"/>
      <c r="D13310" s="4"/>
      <c r="E13310" s="3"/>
    </row>
    <row r="13311">
      <c r="A13311" s="3"/>
      <c r="B13311" s="3"/>
      <c r="C13311" s="3"/>
      <c r="D13311" s="4"/>
      <c r="E13311" s="3"/>
    </row>
    <row r="13312">
      <c r="A13312" s="3"/>
      <c r="B13312" s="3"/>
      <c r="C13312" s="3"/>
      <c r="D13312" s="4"/>
      <c r="E13312" s="3"/>
    </row>
    <row r="13313">
      <c r="A13313" s="3"/>
      <c r="B13313" s="3"/>
      <c r="C13313" s="3"/>
      <c r="D13313" s="4"/>
      <c r="E13313" s="3"/>
    </row>
    <row r="13314">
      <c r="A13314" s="3"/>
      <c r="B13314" s="3"/>
      <c r="C13314" s="3"/>
      <c r="D13314" s="4"/>
      <c r="E13314" s="3"/>
    </row>
    <row r="13315">
      <c r="A13315" s="3"/>
      <c r="B13315" s="3"/>
      <c r="C13315" s="3"/>
      <c r="D13315" s="4"/>
      <c r="E13315" s="3"/>
    </row>
    <row r="13316">
      <c r="A13316" s="3"/>
      <c r="B13316" s="3"/>
      <c r="C13316" s="3"/>
      <c r="D13316" s="4"/>
      <c r="E13316" s="3"/>
    </row>
    <row r="13317">
      <c r="A13317" s="3"/>
      <c r="B13317" s="3"/>
      <c r="C13317" s="3"/>
      <c r="D13317" s="4"/>
      <c r="E13317" s="3"/>
    </row>
    <row r="13318">
      <c r="A13318" s="3"/>
      <c r="B13318" s="3"/>
      <c r="C13318" s="3"/>
      <c r="D13318" s="4"/>
      <c r="E13318" s="3"/>
    </row>
    <row r="13319">
      <c r="A13319" s="3"/>
      <c r="B13319" s="3"/>
      <c r="C13319" s="3"/>
      <c r="D13319" s="4"/>
      <c r="E13319" s="3"/>
    </row>
    <row r="13320">
      <c r="A13320" s="3"/>
      <c r="B13320" s="3"/>
      <c r="C13320" s="3"/>
      <c r="D13320" s="4"/>
      <c r="E13320" s="3"/>
    </row>
    <row r="13321">
      <c r="A13321" s="3"/>
      <c r="B13321" s="3"/>
      <c r="C13321" s="3"/>
      <c r="D13321" s="4"/>
      <c r="E13321" s="3"/>
    </row>
    <row r="13322">
      <c r="A13322" s="3"/>
      <c r="B13322" s="3"/>
      <c r="C13322" s="3"/>
      <c r="D13322" s="4"/>
      <c r="E13322" s="3"/>
    </row>
    <row r="13323">
      <c r="A13323" s="3"/>
      <c r="B13323" s="3"/>
      <c r="C13323" s="3"/>
      <c r="D13323" s="4"/>
      <c r="E13323" s="3"/>
    </row>
    <row r="13324">
      <c r="A13324" s="3"/>
      <c r="B13324" s="3"/>
      <c r="C13324" s="3"/>
      <c r="D13324" s="4"/>
      <c r="E13324" s="3"/>
    </row>
    <row r="13325">
      <c r="A13325" s="3"/>
      <c r="B13325" s="3"/>
      <c r="C13325" s="3"/>
      <c r="D13325" s="4"/>
      <c r="E13325" s="3"/>
    </row>
    <row r="13326">
      <c r="A13326" s="3"/>
      <c r="B13326" s="3"/>
      <c r="C13326" s="3"/>
      <c r="D13326" s="4"/>
      <c r="E13326" s="3"/>
    </row>
    <row r="13327">
      <c r="A13327" s="3"/>
      <c r="B13327" s="3"/>
      <c r="C13327" s="3"/>
      <c r="D13327" s="4"/>
      <c r="E13327" s="3"/>
    </row>
    <row r="13328">
      <c r="A13328" s="3"/>
      <c r="B13328" s="3"/>
      <c r="C13328" s="3"/>
      <c r="D13328" s="4"/>
      <c r="E13328" s="3"/>
    </row>
    <row r="13329">
      <c r="A13329" s="3"/>
      <c r="B13329" s="3"/>
      <c r="C13329" s="3"/>
      <c r="D13329" s="4"/>
      <c r="E13329" s="3"/>
    </row>
    <row r="13330">
      <c r="A13330" s="3"/>
      <c r="B13330" s="3"/>
      <c r="C13330" s="3"/>
      <c r="D13330" s="4"/>
      <c r="E13330" s="3"/>
    </row>
    <row r="13331">
      <c r="A13331" s="3"/>
      <c r="B13331" s="3"/>
      <c r="C13331" s="3"/>
      <c r="D13331" s="4"/>
      <c r="E13331" s="3"/>
    </row>
    <row r="13332">
      <c r="A13332" s="3"/>
      <c r="B13332" s="3"/>
      <c r="C13332" s="3"/>
      <c r="D13332" s="4"/>
      <c r="E13332" s="3"/>
    </row>
    <row r="13333">
      <c r="A13333" s="3"/>
      <c r="B13333" s="3"/>
      <c r="C13333" s="3"/>
      <c r="D13333" s="4"/>
      <c r="E13333" s="3"/>
    </row>
    <row r="13334">
      <c r="A13334" s="3"/>
      <c r="B13334" s="3"/>
      <c r="C13334" s="3"/>
      <c r="D13334" s="4"/>
      <c r="E13334" s="3"/>
    </row>
    <row r="13335">
      <c r="A13335" s="3"/>
      <c r="B13335" s="3"/>
      <c r="C13335" s="3"/>
      <c r="D13335" s="4"/>
      <c r="E13335" s="3"/>
    </row>
    <row r="13336">
      <c r="A13336" s="3"/>
      <c r="B13336" s="3"/>
      <c r="C13336" s="3"/>
      <c r="D13336" s="4"/>
      <c r="E13336" s="3"/>
    </row>
    <row r="13337">
      <c r="A13337" s="3"/>
      <c r="B13337" s="3"/>
      <c r="C13337" s="3"/>
      <c r="D13337" s="4"/>
      <c r="E13337" s="3"/>
    </row>
    <row r="13338">
      <c r="A13338" s="3"/>
      <c r="B13338" s="3"/>
      <c r="C13338" s="3"/>
      <c r="D13338" s="4"/>
      <c r="E13338" s="3"/>
    </row>
    <row r="13339">
      <c r="A13339" s="3"/>
      <c r="B13339" s="3"/>
      <c r="C13339" s="3"/>
      <c r="D13339" s="4"/>
      <c r="E13339" s="3"/>
    </row>
    <row r="13340">
      <c r="A13340" s="3"/>
      <c r="B13340" s="3"/>
      <c r="C13340" s="3"/>
      <c r="D13340" s="4"/>
      <c r="E13340" s="3"/>
    </row>
    <row r="13341">
      <c r="A13341" s="3"/>
      <c r="B13341" s="3"/>
      <c r="C13341" s="3"/>
      <c r="D13341" s="4"/>
      <c r="E13341" s="3"/>
    </row>
    <row r="13342">
      <c r="A13342" s="3"/>
      <c r="B13342" s="3"/>
      <c r="C13342" s="3"/>
      <c r="D13342" s="4"/>
      <c r="E13342" s="3"/>
    </row>
    <row r="13343">
      <c r="A13343" s="3"/>
      <c r="B13343" s="3"/>
      <c r="C13343" s="3"/>
      <c r="D13343" s="4"/>
      <c r="E13343" s="3"/>
    </row>
    <row r="13344">
      <c r="A13344" s="3"/>
      <c r="B13344" s="3"/>
      <c r="C13344" s="3"/>
      <c r="D13344" s="4"/>
      <c r="E13344" s="3"/>
    </row>
    <row r="13345">
      <c r="A13345" s="3"/>
      <c r="B13345" s="3"/>
      <c r="C13345" s="3"/>
      <c r="D13345" s="4"/>
      <c r="E13345" s="3"/>
    </row>
    <row r="13346">
      <c r="A13346" s="3"/>
      <c r="B13346" s="3"/>
      <c r="C13346" s="3"/>
      <c r="D13346" s="4"/>
      <c r="E13346" s="3"/>
    </row>
    <row r="13347">
      <c r="A13347" s="3"/>
      <c r="B13347" s="3"/>
      <c r="C13347" s="3"/>
      <c r="D13347" s="4"/>
      <c r="E13347" s="3"/>
    </row>
    <row r="13348">
      <c r="A13348" s="3"/>
      <c r="B13348" s="3"/>
      <c r="C13348" s="3"/>
      <c r="D13348" s="4"/>
      <c r="E13348" s="3"/>
    </row>
    <row r="13349">
      <c r="A13349" s="3"/>
      <c r="B13349" s="3"/>
      <c r="C13349" s="3"/>
      <c r="D13349" s="4"/>
      <c r="E13349" s="3"/>
    </row>
    <row r="13350">
      <c r="A13350" s="3"/>
      <c r="B13350" s="3"/>
      <c r="C13350" s="3"/>
      <c r="D13350" s="4"/>
      <c r="E13350" s="3"/>
    </row>
    <row r="13351">
      <c r="A13351" s="3"/>
      <c r="B13351" s="3"/>
      <c r="C13351" s="3"/>
      <c r="D13351" s="4"/>
      <c r="E13351" s="3"/>
    </row>
    <row r="13352">
      <c r="A13352" s="3"/>
      <c r="B13352" s="3"/>
      <c r="C13352" s="3"/>
      <c r="D13352" s="4"/>
      <c r="E13352" s="3"/>
    </row>
    <row r="13353">
      <c r="A13353" s="3"/>
      <c r="B13353" s="3"/>
      <c r="C13353" s="3"/>
      <c r="D13353" s="4"/>
      <c r="E13353" s="3"/>
    </row>
    <row r="13354">
      <c r="A13354" s="3"/>
      <c r="B13354" s="3"/>
      <c r="C13354" s="3"/>
      <c r="D13354" s="4"/>
      <c r="E13354" s="3"/>
    </row>
    <row r="13355">
      <c r="A13355" s="3"/>
      <c r="B13355" s="3"/>
      <c r="C13355" s="3"/>
      <c r="D13355" s="4"/>
      <c r="E13355" s="3"/>
    </row>
    <row r="13356">
      <c r="A13356" s="3"/>
      <c r="B13356" s="3"/>
      <c r="C13356" s="3"/>
      <c r="D13356" s="4"/>
      <c r="E13356" s="3"/>
    </row>
    <row r="13357">
      <c r="A13357" s="3"/>
      <c r="B13357" s="3"/>
      <c r="C13357" s="3"/>
      <c r="D13357" s="4"/>
      <c r="E13357" s="3"/>
    </row>
    <row r="13358">
      <c r="A13358" s="3"/>
      <c r="B13358" s="3"/>
      <c r="C13358" s="3"/>
      <c r="D13358" s="4"/>
      <c r="E13358" s="3"/>
    </row>
    <row r="13359">
      <c r="A13359" s="3"/>
      <c r="B13359" s="3"/>
      <c r="C13359" s="3"/>
      <c r="D13359" s="4"/>
      <c r="E13359" s="3"/>
    </row>
    <row r="13360">
      <c r="A13360" s="3"/>
      <c r="B13360" s="3"/>
      <c r="C13360" s="3"/>
      <c r="D13360" s="4"/>
      <c r="E13360" s="3"/>
    </row>
    <row r="13361">
      <c r="A13361" s="3"/>
      <c r="B13361" s="3"/>
      <c r="C13361" s="3"/>
      <c r="D13361" s="4"/>
      <c r="E13361" s="3"/>
    </row>
    <row r="13362">
      <c r="A13362" s="3"/>
      <c r="B13362" s="3"/>
      <c r="C13362" s="3"/>
      <c r="D13362" s="4"/>
      <c r="E13362" s="3"/>
    </row>
    <row r="13363">
      <c r="A13363" s="3"/>
      <c r="B13363" s="3"/>
      <c r="C13363" s="3"/>
      <c r="D13363" s="4"/>
      <c r="E13363" s="3"/>
    </row>
    <row r="13364">
      <c r="A13364" s="3"/>
      <c r="B13364" s="3"/>
      <c r="C13364" s="3"/>
      <c r="D13364" s="4"/>
      <c r="E13364" s="3"/>
    </row>
    <row r="13365">
      <c r="A13365" s="3"/>
      <c r="B13365" s="3"/>
      <c r="C13365" s="3"/>
      <c r="D13365" s="4"/>
      <c r="E13365" s="3"/>
    </row>
    <row r="13366">
      <c r="A13366" s="3"/>
      <c r="B13366" s="3"/>
      <c r="C13366" s="3"/>
      <c r="D13366" s="4"/>
      <c r="E13366" s="3"/>
    </row>
    <row r="13367">
      <c r="A13367" s="3"/>
      <c r="B13367" s="3"/>
      <c r="C13367" s="3"/>
      <c r="D13367" s="4"/>
      <c r="E13367" s="3"/>
    </row>
    <row r="13368">
      <c r="A13368" s="3"/>
      <c r="B13368" s="3"/>
      <c r="C13368" s="3"/>
      <c r="D13368" s="4"/>
      <c r="E13368" s="3"/>
    </row>
    <row r="13369">
      <c r="A13369" s="3"/>
      <c r="B13369" s="3"/>
      <c r="C13369" s="3"/>
      <c r="D13369" s="4"/>
      <c r="E13369" s="3"/>
    </row>
    <row r="13370">
      <c r="A13370" s="3"/>
      <c r="B13370" s="3"/>
      <c r="C13370" s="3"/>
      <c r="D13370" s="4"/>
      <c r="E13370" s="3"/>
    </row>
    <row r="13371">
      <c r="A13371" s="3"/>
      <c r="B13371" s="3"/>
      <c r="C13371" s="3"/>
      <c r="D13371" s="4"/>
      <c r="E13371" s="3"/>
    </row>
    <row r="13372">
      <c r="A13372" s="3"/>
      <c r="B13372" s="3"/>
      <c r="C13372" s="3"/>
      <c r="D13372" s="4"/>
      <c r="E13372" s="3"/>
    </row>
    <row r="13373">
      <c r="A13373" s="3"/>
      <c r="B13373" s="3"/>
      <c r="C13373" s="3"/>
      <c r="D13373" s="4"/>
      <c r="E13373" s="3"/>
    </row>
    <row r="13374">
      <c r="A13374" s="3"/>
      <c r="B13374" s="3"/>
      <c r="C13374" s="3"/>
      <c r="D13374" s="4"/>
      <c r="E13374" s="3"/>
    </row>
    <row r="13375">
      <c r="A13375" s="3"/>
      <c r="B13375" s="3"/>
      <c r="C13375" s="3"/>
      <c r="D13375" s="4"/>
      <c r="E13375" s="3"/>
    </row>
    <row r="13376">
      <c r="A13376" s="3"/>
      <c r="B13376" s="3"/>
      <c r="C13376" s="3"/>
      <c r="D13376" s="4"/>
      <c r="E13376" s="3"/>
    </row>
    <row r="13377">
      <c r="A13377" s="3"/>
      <c r="B13377" s="3"/>
      <c r="C13377" s="3"/>
      <c r="D13377" s="4"/>
      <c r="E13377" s="3"/>
    </row>
    <row r="13378">
      <c r="A13378" s="3"/>
      <c r="B13378" s="3"/>
      <c r="C13378" s="3"/>
      <c r="D13378" s="4"/>
      <c r="E13378" s="3"/>
    </row>
    <row r="13379">
      <c r="A13379" s="3"/>
      <c r="B13379" s="3"/>
      <c r="C13379" s="3"/>
      <c r="D13379" s="4"/>
      <c r="E13379" s="3"/>
    </row>
    <row r="13380">
      <c r="A13380" s="3"/>
      <c r="B13380" s="3"/>
      <c r="C13380" s="3"/>
      <c r="D13380" s="4"/>
      <c r="E13380" s="3"/>
    </row>
    <row r="13381">
      <c r="A13381" s="3"/>
      <c r="B13381" s="3"/>
      <c r="C13381" s="3"/>
      <c r="D13381" s="4"/>
      <c r="E13381" s="3"/>
    </row>
    <row r="13382">
      <c r="A13382" s="3"/>
      <c r="B13382" s="3"/>
      <c r="C13382" s="3"/>
      <c r="D13382" s="4"/>
      <c r="E13382" s="3"/>
    </row>
    <row r="13383">
      <c r="A13383" s="3"/>
      <c r="B13383" s="3"/>
      <c r="C13383" s="3"/>
      <c r="D13383" s="4"/>
      <c r="E13383" s="3"/>
    </row>
    <row r="13384">
      <c r="A13384" s="3"/>
      <c r="B13384" s="3"/>
      <c r="C13384" s="3"/>
      <c r="D13384" s="4"/>
      <c r="E13384" s="3"/>
    </row>
    <row r="13385">
      <c r="A13385" s="3"/>
      <c r="B13385" s="3"/>
      <c r="C13385" s="3"/>
      <c r="D13385" s="4"/>
      <c r="E13385" s="3"/>
    </row>
    <row r="13386">
      <c r="A13386" s="3"/>
      <c r="B13386" s="3"/>
      <c r="C13386" s="3"/>
      <c r="D13386" s="4"/>
      <c r="E13386" s="3"/>
    </row>
    <row r="13387">
      <c r="A13387" s="3"/>
      <c r="B13387" s="3"/>
      <c r="C13387" s="3"/>
      <c r="D13387" s="4"/>
      <c r="E13387" s="3"/>
    </row>
    <row r="13388">
      <c r="A13388" s="3"/>
      <c r="B13388" s="3"/>
      <c r="C13388" s="3"/>
      <c r="D13388" s="4"/>
      <c r="E13388" s="3"/>
    </row>
    <row r="13389">
      <c r="A13389" s="3"/>
      <c r="B13389" s="3"/>
      <c r="C13389" s="3"/>
      <c r="D13389" s="4"/>
      <c r="E13389" s="3"/>
    </row>
    <row r="13390">
      <c r="A13390" s="3"/>
      <c r="B13390" s="3"/>
      <c r="C13390" s="3"/>
      <c r="D13390" s="4"/>
      <c r="E13390" s="3"/>
    </row>
    <row r="13391">
      <c r="A13391" s="3"/>
      <c r="B13391" s="3"/>
      <c r="C13391" s="3"/>
      <c r="D13391" s="4"/>
      <c r="E13391" s="3"/>
    </row>
    <row r="13392">
      <c r="A13392" s="3"/>
      <c r="B13392" s="3"/>
      <c r="C13392" s="3"/>
      <c r="D13392" s="4"/>
      <c r="E13392" s="3"/>
    </row>
    <row r="13393">
      <c r="A13393" s="3"/>
      <c r="B13393" s="3"/>
      <c r="C13393" s="3"/>
      <c r="D13393" s="4"/>
      <c r="E13393" s="3"/>
    </row>
    <row r="13394">
      <c r="A13394" s="3"/>
      <c r="B13394" s="3"/>
      <c r="C13394" s="3"/>
      <c r="D13394" s="4"/>
      <c r="E13394" s="3"/>
    </row>
    <row r="13395">
      <c r="A13395" s="3"/>
      <c r="B13395" s="3"/>
      <c r="C13395" s="3"/>
      <c r="D13395" s="4"/>
      <c r="E13395" s="3"/>
    </row>
    <row r="13396">
      <c r="A13396" s="3"/>
      <c r="B13396" s="3"/>
      <c r="C13396" s="3"/>
      <c r="D13396" s="4"/>
      <c r="E13396" s="3"/>
    </row>
    <row r="13397">
      <c r="A13397" s="3"/>
      <c r="B13397" s="3"/>
      <c r="C13397" s="3"/>
      <c r="D13397" s="4"/>
      <c r="E13397" s="3"/>
    </row>
    <row r="13398">
      <c r="A13398" s="3"/>
      <c r="B13398" s="3"/>
      <c r="C13398" s="3"/>
      <c r="D13398" s="4"/>
      <c r="E13398" s="3"/>
    </row>
    <row r="13399">
      <c r="A13399" s="3"/>
      <c r="B13399" s="3"/>
      <c r="C13399" s="3"/>
      <c r="D13399" s="4"/>
      <c r="E13399" s="3"/>
    </row>
    <row r="13400">
      <c r="A13400" s="3"/>
      <c r="B13400" s="3"/>
      <c r="C13400" s="3"/>
      <c r="D13400" s="4"/>
      <c r="E13400" s="3"/>
    </row>
    <row r="13401">
      <c r="A13401" s="3"/>
      <c r="B13401" s="3"/>
      <c r="C13401" s="3"/>
      <c r="D13401" s="4"/>
      <c r="E13401" s="3"/>
    </row>
    <row r="13402">
      <c r="A13402" s="3"/>
      <c r="B13402" s="3"/>
      <c r="C13402" s="3"/>
      <c r="D13402" s="4"/>
      <c r="E13402" s="3"/>
    </row>
    <row r="13403">
      <c r="A13403" s="3"/>
      <c r="B13403" s="3"/>
      <c r="C13403" s="3"/>
      <c r="D13403" s="4"/>
      <c r="E13403" s="3"/>
    </row>
    <row r="13404">
      <c r="A13404" s="3"/>
      <c r="B13404" s="3"/>
      <c r="C13404" s="3"/>
      <c r="D13404" s="4"/>
      <c r="E13404" s="3"/>
    </row>
    <row r="13405">
      <c r="A13405" s="3"/>
      <c r="B13405" s="3"/>
      <c r="C13405" s="3"/>
      <c r="D13405" s="4"/>
      <c r="E13405" s="3"/>
    </row>
    <row r="13406">
      <c r="A13406" s="3"/>
      <c r="B13406" s="3"/>
      <c r="C13406" s="3"/>
      <c r="D13406" s="4"/>
      <c r="E13406" s="3"/>
    </row>
    <row r="13407">
      <c r="A13407" s="3"/>
      <c r="B13407" s="3"/>
      <c r="C13407" s="3"/>
      <c r="D13407" s="4"/>
      <c r="E13407" s="3"/>
    </row>
    <row r="13408">
      <c r="A13408" s="3"/>
      <c r="B13408" s="3"/>
      <c r="C13408" s="3"/>
      <c r="D13408" s="4"/>
      <c r="E13408" s="3"/>
    </row>
    <row r="13409">
      <c r="A13409" s="3"/>
      <c r="B13409" s="3"/>
      <c r="C13409" s="3"/>
      <c r="D13409" s="4"/>
      <c r="E13409" s="3"/>
    </row>
    <row r="13410">
      <c r="A13410" s="3"/>
      <c r="B13410" s="3"/>
      <c r="C13410" s="3"/>
      <c r="D13410" s="4"/>
      <c r="E13410" s="3"/>
    </row>
    <row r="13411">
      <c r="A13411" s="3"/>
      <c r="B13411" s="3"/>
      <c r="C13411" s="3"/>
      <c r="D13411" s="4"/>
      <c r="E13411" s="3"/>
    </row>
    <row r="13412">
      <c r="A13412" s="3"/>
      <c r="B13412" s="3"/>
      <c r="C13412" s="3"/>
      <c r="D13412" s="4"/>
      <c r="E13412" s="3"/>
    </row>
    <row r="13413">
      <c r="A13413" s="3"/>
      <c r="B13413" s="3"/>
      <c r="C13413" s="3"/>
      <c r="D13413" s="4"/>
      <c r="E13413" s="3"/>
    </row>
    <row r="13414">
      <c r="A13414" s="3"/>
      <c r="B13414" s="3"/>
      <c r="C13414" s="3"/>
      <c r="D13414" s="4"/>
      <c r="E13414" s="3"/>
    </row>
    <row r="13415">
      <c r="A13415" s="3"/>
      <c r="B13415" s="3"/>
      <c r="C13415" s="3"/>
      <c r="D13415" s="4"/>
      <c r="E13415" s="3"/>
    </row>
    <row r="13416">
      <c r="A13416" s="3"/>
      <c r="B13416" s="3"/>
      <c r="C13416" s="3"/>
      <c r="D13416" s="4"/>
      <c r="E13416" s="3"/>
    </row>
    <row r="13417">
      <c r="A13417" s="3"/>
      <c r="B13417" s="3"/>
      <c r="C13417" s="3"/>
      <c r="D13417" s="4"/>
      <c r="E13417" s="3"/>
    </row>
    <row r="13418">
      <c r="A13418" s="3"/>
      <c r="B13418" s="3"/>
      <c r="C13418" s="3"/>
      <c r="D13418" s="4"/>
      <c r="E13418" s="3"/>
    </row>
    <row r="13419">
      <c r="A13419" s="3"/>
      <c r="B13419" s="3"/>
      <c r="C13419" s="3"/>
      <c r="D13419" s="4"/>
      <c r="E13419" s="3"/>
    </row>
    <row r="13420">
      <c r="A13420" s="3"/>
      <c r="B13420" s="3"/>
      <c r="C13420" s="3"/>
      <c r="D13420" s="4"/>
      <c r="E13420" s="3"/>
    </row>
    <row r="13421">
      <c r="A13421" s="3"/>
      <c r="B13421" s="3"/>
      <c r="C13421" s="3"/>
      <c r="D13421" s="4"/>
      <c r="E13421" s="3"/>
    </row>
    <row r="13422">
      <c r="A13422" s="3"/>
      <c r="B13422" s="3"/>
      <c r="C13422" s="3"/>
      <c r="D13422" s="4"/>
      <c r="E13422" s="3"/>
    </row>
    <row r="13423">
      <c r="A13423" s="3"/>
      <c r="B13423" s="3"/>
      <c r="C13423" s="3"/>
      <c r="D13423" s="4"/>
      <c r="E13423" s="3"/>
    </row>
    <row r="13424">
      <c r="A13424" s="3"/>
      <c r="B13424" s="3"/>
      <c r="C13424" s="3"/>
      <c r="D13424" s="4"/>
      <c r="E13424" s="3"/>
    </row>
    <row r="13425">
      <c r="A13425" s="3"/>
      <c r="B13425" s="3"/>
      <c r="C13425" s="3"/>
      <c r="D13425" s="4"/>
      <c r="E13425" s="3"/>
    </row>
    <row r="13426">
      <c r="A13426" s="3"/>
      <c r="B13426" s="3"/>
      <c r="C13426" s="3"/>
      <c r="D13426" s="4"/>
      <c r="E13426" s="3"/>
    </row>
    <row r="13427">
      <c r="A13427" s="3"/>
      <c r="B13427" s="3"/>
      <c r="C13427" s="3"/>
      <c r="D13427" s="4"/>
      <c r="E13427" s="3"/>
    </row>
    <row r="13428">
      <c r="A13428" s="3"/>
      <c r="B13428" s="3"/>
      <c r="C13428" s="3"/>
      <c r="D13428" s="4"/>
      <c r="E13428" s="3"/>
    </row>
    <row r="13429">
      <c r="A13429" s="3"/>
      <c r="B13429" s="3"/>
      <c r="C13429" s="3"/>
      <c r="D13429" s="4"/>
      <c r="E13429" s="3"/>
    </row>
    <row r="13430">
      <c r="A13430" s="3"/>
      <c r="B13430" s="3"/>
      <c r="C13430" s="3"/>
      <c r="D13430" s="4"/>
      <c r="E13430" s="3"/>
    </row>
    <row r="13431">
      <c r="A13431" s="3"/>
      <c r="B13431" s="3"/>
      <c r="C13431" s="3"/>
      <c r="D13431" s="4"/>
      <c r="E13431" s="3"/>
    </row>
    <row r="13432">
      <c r="A13432" s="3"/>
      <c r="B13432" s="3"/>
      <c r="C13432" s="3"/>
      <c r="D13432" s="4"/>
      <c r="E13432" s="3"/>
    </row>
    <row r="13433">
      <c r="A13433" s="3"/>
      <c r="B13433" s="3"/>
      <c r="C13433" s="3"/>
      <c r="D13433" s="4"/>
      <c r="E13433" s="3"/>
    </row>
    <row r="13434">
      <c r="A13434" s="3"/>
      <c r="B13434" s="3"/>
      <c r="C13434" s="3"/>
      <c r="D13434" s="4"/>
      <c r="E13434" s="3"/>
    </row>
    <row r="13435">
      <c r="A13435" s="3"/>
      <c r="B13435" s="3"/>
      <c r="C13435" s="3"/>
      <c r="D13435" s="4"/>
      <c r="E13435" s="3"/>
    </row>
    <row r="13436">
      <c r="A13436" s="3"/>
      <c r="B13436" s="3"/>
      <c r="C13436" s="3"/>
      <c r="D13436" s="4"/>
      <c r="E13436" s="3"/>
    </row>
    <row r="13437">
      <c r="A13437" s="3"/>
      <c r="B13437" s="3"/>
      <c r="C13437" s="3"/>
      <c r="D13437" s="4"/>
      <c r="E13437" s="3"/>
    </row>
    <row r="13438">
      <c r="A13438" s="3"/>
      <c r="B13438" s="3"/>
      <c r="C13438" s="3"/>
      <c r="D13438" s="4"/>
      <c r="E13438" s="3"/>
    </row>
    <row r="13439">
      <c r="A13439" s="3"/>
      <c r="B13439" s="3"/>
      <c r="C13439" s="3"/>
      <c r="D13439" s="4"/>
      <c r="E13439" s="3"/>
    </row>
    <row r="13440">
      <c r="A13440" s="3"/>
      <c r="B13440" s="3"/>
      <c r="C13440" s="3"/>
      <c r="D13440" s="4"/>
      <c r="E13440" s="3"/>
    </row>
    <row r="13441">
      <c r="A13441" s="3"/>
      <c r="B13441" s="3"/>
      <c r="C13441" s="3"/>
      <c r="D13441" s="4"/>
      <c r="E13441" s="3"/>
    </row>
    <row r="13442">
      <c r="A13442" s="3"/>
      <c r="B13442" s="3"/>
      <c r="C13442" s="3"/>
      <c r="D13442" s="4"/>
      <c r="E13442" s="3"/>
    </row>
    <row r="13443">
      <c r="A13443" s="3"/>
      <c r="B13443" s="3"/>
      <c r="C13443" s="3"/>
      <c r="D13443" s="4"/>
      <c r="E13443" s="3"/>
    </row>
    <row r="13444">
      <c r="A13444" s="3"/>
      <c r="B13444" s="3"/>
      <c r="C13444" s="3"/>
      <c r="D13444" s="4"/>
      <c r="E13444" s="3"/>
    </row>
    <row r="13445">
      <c r="A13445" s="3"/>
      <c r="B13445" s="3"/>
      <c r="C13445" s="3"/>
      <c r="D13445" s="4"/>
      <c r="E13445" s="3"/>
    </row>
    <row r="13446">
      <c r="A13446" s="3"/>
      <c r="B13446" s="3"/>
      <c r="C13446" s="3"/>
      <c r="D13446" s="4"/>
      <c r="E13446" s="3"/>
    </row>
    <row r="13447">
      <c r="A13447" s="3"/>
      <c r="B13447" s="3"/>
      <c r="C13447" s="3"/>
      <c r="D13447" s="4"/>
      <c r="E13447" s="3"/>
    </row>
    <row r="13448">
      <c r="A13448" s="3"/>
      <c r="B13448" s="3"/>
      <c r="C13448" s="3"/>
      <c r="D13448" s="4"/>
      <c r="E13448" s="3"/>
    </row>
    <row r="13449">
      <c r="A13449" s="3"/>
      <c r="B13449" s="3"/>
      <c r="C13449" s="3"/>
      <c r="D13449" s="4"/>
      <c r="E13449" s="3"/>
    </row>
    <row r="13450">
      <c r="A13450" s="3"/>
      <c r="B13450" s="3"/>
      <c r="C13450" s="3"/>
      <c r="D13450" s="4"/>
      <c r="E13450" s="3"/>
    </row>
    <row r="13451">
      <c r="A13451" s="3"/>
      <c r="B13451" s="3"/>
      <c r="C13451" s="3"/>
      <c r="D13451" s="4"/>
      <c r="E13451" s="3"/>
    </row>
    <row r="13452">
      <c r="A13452" s="3"/>
      <c r="B13452" s="3"/>
      <c r="C13452" s="3"/>
      <c r="D13452" s="4"/>
      <c r="E13452" s="3"/>
    </row>
    <row r="13453">
      <c r="A13453" s="3"/>
      <c r="B13453" s="3"/>
      <c r="C13453" s="3"/>
      <c r="D13453" s="4"/>
      <c r="E13453" s="3"/>
    </row>
    <row r="13454">
      <c r="A13454" s="3"/>
      <c r="B13454" s="3"/>
      <c r="C13454" s="3"/>
      <c r="D13454" s="4"/>
      <c r="E13454" s="3"/>
    </row>
    <row r="13455">
      <c r="A13455" s="3"/>
      <c r="B13455" s="3"/>
      <c r="C13455" s="3"/>
      <c r="D13455" s="4"/>
      <c r="E13455" s="3"/>
    </row>
    <row r="13456">
      <c r="A13456" s="3"/>
      <c r="B13456" s="3"/>
      <c r="C13456" s="3"/>
      <c r="D13456" s="4"/>
      <c r="E13456" s="3"/>
    </row>
    <row r="13457">
      <c r="A13457" s="3"/>
      <c r="B13457" s="3"/>
      <c r="C13457" s="3"/>
      <c r="D13457" s="4"/>
      <c r="E13457" s="3"/>
    </row>
    <row r="13458">
      <c r="A13458" s="3"/>
      <c r="B13458" s="3"/>
      <c r="C13458" s="3"/>
      <c r="D13458" s="4"/>
      <c r="E13458" s="3"/>
    </row>
    <row r="13459">
      <c r="A13459" s="3"/>
      <c r="B13459" s="3"/>
      <c r="C13459" s="3"/>
      <c r="D13459" s="4"/>
      <c r="E13459" s="3"/>
    </row>
    <row r="13460">
      <c r="A13460" s="3"/>
      <c r="B13460" s="3"/>
      <c r="C13460" s="3"/>
      <c r="D13460" s="4"/>
      <c r="E13460" s="3"/>
    </row>
    <row r="13461">
      <c r="A13461" s="3"/>
      <c r="B13461" s="3"/>
      <c r="C13461" s="3"/>
      <c r="D13461" s="4"/>
      <c r="E13461" s="3"/>
    </row>
    <row r="13462">
      <c r="A13462" s="3"/>
      <c r="B13462" s="3"/>
      <c r="C13462" s="3"/>
      <c r="D13462" s="4"/>
      <c r="E13462" s="3"/>
    </row>
    <row r="13463">
      <c r="A13463" s="3"/>
      <c r="B13463" s="3"/>
      <c r="C13463" s="3"/>
      <c r="D13463" s="4"/>
      <c r="E13463" s="3"/>
    </row>
    <row r="13464">
      <c r="A13464" s="3"/>
      <c r="B13464" s="3"/>
      <c r="C13464" s="3"/>
      <c r="D13464" s="4"/>
      <c r="E13464" s="3"/>
    </row>
    <row r="13465">
      <c r="A13465" s="3"/>
      <c r="B13465" s="3"/>
      <c r="C13465" s="3"/>
      <c r="D13465" s="4"/>
      <c r="E13465" s="3"/>
    </row>
    <row r="13466">
      <c r="A13466" s="3"/>
      <c r="B13466" s="3"/>
      <c r="C13466" s="3"/>
      <c r="D13466" s="4"/>
      <c r="E13466" s="3"/>
    </row>
    <row r="13467">
      <c r="A13467" s="3"/>
      <c r="B13467" s="3"/>
      <c r="C13467" s="3"/>
      <c r="D13467" s="4"/>
      <c r="E13467" s="3"/>
    </row>
    <row r="13468">
      <c r="A13468" s="3"/>
      <c r="B13468" s="3"/>
      <c r="C13468" s="3"/>
      <c r="D13468" s="4"/>
      <c r="E13468" s="3"/>
    </row>
    <row r="13469">
      <c r="A13469" s="3"/>
      <c r="B13469" s="3"/>
      <c r="C13469" s="3"/>
      <c r="D13469" s="4"/>
      <c r="E13469" s="3"/>
    </row>
    <row r="13470">
      <c r="A13470" s="3"/>
      <c r="B13470" s="3"/>
      <c r="C13470" s="3"/>
      <c r="D13470" s="4"/>
      <c r="E13470" s="3"/>
    </row>
    <row r="13471">
      <c r="A13471" s="3"/>
      <c r="B13471" s="3"/>
      <c r="C13471" s="3"/>
      <c r="D13471" s="4"/>
      <c r="E13471" s="3"/>
    </row>
    <row r="13472">
      <c r="A13472" s="3"/>
      <c r="B13472" s="3"/>
      <c r="C13472" s="3"/>
      <c r="D13472" s="4"/>
      <c r="E13472" s="3"/>
    </row>
    <row r="13473">
      <c r="A13473" s="3"/>
      <c r="B13473" s="3"/>
      <c r="C13473" s="3"/>
      <c r="D13473" s="4"/>
      <c r="E13473" s="3"/>
    </row>
    <row r="13474">
      <c r="A13474" s="3"/>
      <c r="B13474" s="3"/>
      <c r="C13474" s="3"/>
      <c r="D13474" s="4"/>
      <c r="E13474" s="3"/>
    </row>
    <row r="13475">
      <c r="A13475" s="3"/>
      <c r="B13475" s="3"/>
      <c r="C13475" s="3"/>
      <c r="D13475" s="4"/>
      <c r="E13475" s="3"/>
    </row>
    <row r="13476">
      <c r="A13476" s="3"/>
      <c r="B13476" s="3"/>
      <c r="C13476" s="3"/>
      <c r="D13476" s="4"/>
      <c r="E13476" s="3"/>
    </row>
    <row r="13477">
      <c r="A13477" s="3"/>
      <c r="B13477" s="3"/>
      <c r="C13477" s="3"/>
      <c r="D13477" s="4"/>
      <c r="E13477" s="3"/>
    </row>
    <row r="13478">
      <c r="A13478" s="3"/>
      <c r="B13478" s="3"/>
      <c r="C13478" s="3"/>
      <c r="D13478" s="4"/>
      <c r="E13478" s="3"/>
    </row>
    <row r="13479">
      <c r="A13479" s="3"/>
      <c r="B13479" s="3"/>
      <c r="C13479" s="3"/>
      <c r="D13479" s="4"/>
      <c r="E13479" s="3"/>
    </row>
    <row r="13480">
      <c r="A13480" s="3"/>
      <c r="B13480" s="3"/>
      <c r="C13480" s="3"/>
      <c r="D13480" s="4"/>
      <c r="E13480" s="3"/>
    </row>
    <row r="13481">
      <c r="A13481" s="3"/>
      <c r="B13481" s="3"/>
      <c r="C13481" s="3"/>
      <c r="D13481" s="4"/>
      <c r="E13481" s="3"/>
    </row>
    <row r="13482">
      <c r="A13482" s="3"/>
      <c r="B13482" s="3"/>
      <c r="C13482" s="3"/>
      <c r="D13482" s="4"/>
      <c r="E13482" s="3"/>
    </row>
    <row r="13483">
      <c r="A13483" s="3"/>
      <c r="B13483" s="3"/>
      <c r="C13483" s="3"/>
      <c r="D13483" s="4"/>
      <c r="E13483" s="3"/>
    </row>
    <row r="13484">
      <c r="A13484" s="3"/>
      <c r="B13484" s="3"/>
      <c r="C13484" s="3"/>
      <c r="D13484" s="4"/>
      <c r="E13484" s="3"/>
    </row>
    <row r="13485">
      <c r="A13485" s="3"/>
      <c r="B13485" s="3"/>
      <c r="C13485" s="3"/>
      <c r="D13485" s="4"/>
      <c r="E13485" s="3"/>
    </row>
    <row r="13486">
      <c r="A13486" s="3"/>
      <c r="B13486" s="3"/>
      <c r="C13486" s="3"/>
      <c r="D13486" s="4"/>
      <c r="E13486" s="3"/>
    </row>
    <row r="13487">
      <c r="A13487" s="3"/>
      <c r="B13487" s="3"/>
      <c r="C13487" s="3"/>
      <c r="D13487" s="4"/>
      <c r="E13487" s="3"/>
    </row>
    <row r="13488">
      <c r="A13488" s="3"/>
      <c r="B13488" s="3"/>
      <c r="C13488" s="3"/>
      <c r="D13488" s="4"/>
      <c r="E13488" s="3"/>
    </row>
    <row r="13489">
      <c r="A13489" s="3"/>
      <c r="B13489" s="3"/>
      <c r="C13489" s="3"/>
      <c r="D13489" s="4"/>
      <c r="E13489" s="3"/>
    </row>
    <row r="13490">
      <c r="A13490" s="3"/>
      <c r="B13490" s="3"/>
      <c r="C13490" s="3"/>
      <c r="D13490" s="4"/>
      <c r="E13490" s="3"/>
    </row>
    <row r="13491">
      <c r="A13491" s="3"/>
      <c r="B13491" s="3"/>
      <c r="C13491" s="3"/>
      <c r="D13491" s="4"/>
      <c r="E13491" s="3"/>
    </row>
    <row r="13492">
      <c r="A13492" s="3"/>
      <c r="B13492" s="3"/>
      <c r="C13492" s="3"/>
      <c r="D13492" s="4"/>
      <c r="E13492" s="3"/>
    </row>
    <row r="13493">
      <c r="A13493" s="3"/>
      <c r="B13493" s="3"/>
      <c r="C13493" s="3"/>
      <c r="D13493" s="4"/>
      <c r="E13493" s="3"/>
    </row>
    <row r="13494">
      <c r="A13494" s="3"/>
      <c r="B13494" s="3"/>
      <c r="C13494" s="3"/>
      <c r="D13494" s="4"/>
      <c r="E13494" s="3"/>
    </row>
    <row r="13495">
      <c r="A13495" s="3"/>
      <c r="B13495" s="3"/>
      <c r="C13495" s="3"/>
      <c r="D13495" s="4"/>
      <c r="E13495" s="3"/>
    </row>
    <row r="13496">
      <c r="A13496" s="3"/>
      <c r="B13496" s="3"/>
      <c r="C13496" s="3"/>
      <c r="D13496" s="4"/>
      <c r="E13496" s="3"/>
    </row>
    <row r="13497">
      <c r="A13497" s="3"/>
      <c r="B13497" s="3"/>
      <c r="C13497" s="3"/>
      <c r="D13497" s="4"/>
      <c r="E13497" s="3"/>
    </row>
    <row r="13498">
      <c r="A13498" s="3"/>
      <c r="B13498" s="3"/>
      <c r="C13498" s="3"/>
      <c r="D13498" s="4"/>
      <c r="E13498" s="3"/>
    </row>
    <row r="13499">
      <c r="A13499" s="3"/>
      <c r="B13499" s="3"/>
      <c r="C13499" s="3"/>
      <c r="D13499" s="4"/>
      <c r="E13499" s="3"/>
    </row>
    <row r="13500">
      <c r="A13500" s="3"/>
      <c r="B13500" s="3"/>
      <c r="C13500" s="3"/>
      <c r="D13500" s="4"/>
      <c r="E13500" s="3"/>
    </row>
    <row r="13501">
      <c r="A13501" s="3"/>
      <c r="B13501" s="3"/>
      <c r="C13501" s="3"/>
      <c r="D13501" s="4"/>
      <c r="E13501" s="3"/>
    </row>
    <row r="13502">
      <c r="A13502" s="3"/>
      <c r="B13502" s="3"/>
      <c r="C13502" s="3"/>
      <c r="D13502" s="4"/>
      <c r="E13502" s="3"/>
    </row>
    <row r="13503">
      <c r="A13503" s="3"/>
      <c r="B13503" s="3"/>
      <c r="C13503" s="3"/>
      <c r="D13503" s="4"/>
      <c r="E13503" s="3"/>
    </row>
    <row r="13504">
      <c r="A13504" s="3"/>
      <c r="B13504" s="3"/>
      <c r="C13504" s="3"/>
      <c r="D13504" s="4"/>
      <c r="E13504" s="3"/>
    </row>
    <row r="13505">
      <c r="A13505" s="3"/>
      <c r="B13505" s="3"/>
      <c r="C13505" s="3"/>
      <c r="D13505" s="4"/>
      <c r="E13505" s="3"/>
    </row>
    <row r="13506">
      <c r="A13506" s="3"/>
      <c r="B13506" s="3"/>
      <c r="C13506" s="3"/>
      <c r="D13506" s="4"/>
      <c r="E13506" s="3"/>
    </row>
    <row r="13507">
      <c r="A13507" s="3"/>
      <c r="B13507" s="3"/>
      <c r="C13507" s="3"/>
      <c r="D13507" s="4"/>
      <c r="E13507" s="3"/>
    </row>
    <row r="13508">
      <c r="A13508" s="3"/>
      <c r="B13508" s="3"/>
      <c r="C13508" s="3"/>
      <c r="D13508" s="4"/>
      <c r="E13508" s="3"/>
    </row>
    <row r="13509">
      <c r="A13509" s="3"/>
      <c r="B13509" s="3"/>
      <c r="C13509" s="3"/>
      <c r="D13509" s="4"/>
      <c r="E13509" s="3"/>
    </row>
    <row r="13510">
      <c r="A13510" s="3"/>
      <c r="B13510" s="3"/>
      <c r="C13510" s="3"/>
      <c r="D13510" s="4"/>
      <c r="E13510" s="3"/>
    </row>
    <row r="13511">
      <c r="A13511" s="3"/>
      <c r="B13511" s="3"/>
      <c r="C13511" s="3"/>
      <c r="D13511" s="4"/>
      <c r="E13511" s="3"/>
    </row>
    <row r="13512">
      <c r="A13512" s="3"/>
      <c r="B13512" s="3"/>
      <c r="C13512" s="3"/>
      <c r="D13512" s="4"/>
      <c r="E13512" s="3"/>
    </row>
    <row r="13513">
      <c r="A13513" s="3"/>
      <c r="B13513" s="3"/>
      <c r="C13513" s="3"/>
      <c r="D13513" s="4"/>
      <c r="E13513" s="3"/>
    </row>
    <row r="13514">
      <c r="A13514" s="3"/>
      <c r="B13514" s="3"/>
      <c r="C13514" s="3"/>
      <c r="D13514" s="4"/>
      <c r="E13514" s="3"/>
    </row>
    <row r="13515">
      <c r="A13515" s="3"/>
      <c r="B13515" s="3"/>
      <c r="C13515" s="3"/>
      <c r="D13515" s="4"/>
      <c r="E13515" s="3"/>
    </row>
    <row r="13516">
      <c r="A13516" s="3"/>
      <c r="B13516" s="3"/>
      <c r="C13516" s="3"/>
      <c r="D13516" s="4"/>
      <c r="E13516" s="3"/>
    </row>
    <row r="13517">
      <c r="A13517" s="3"/>
      <c r="B13517" s="3"/>
      <c r="C13517" s="3"/>
      <c r="D13517" s="4"/>
      <c r="E13517" s="3"/>
    </row>
    <row r="13518">
      <c r="A13518" s="3"/>
      <c r="B13518" s="3"/>
      <c r="C13518" s="3"/>
      <c r="D13518" s="4"/>
      <c r="E13518" s="3"/>
    </row>
    <row r="13519">
      <c r="A13519" s="3"/>
      <c r="B13519" s="3"/>
      <c r="C13519" s="3"/>
      <c r="D13519" s="4"/>
      <c r="E13519" s="3"/>
    </row>
    <row r="13520">
      <c r="A13520" s="3"/>
      <c r="B13520" s="3"/>
      <c r="C13520" s="3"/>
      <c r="D13520" s="4"/>
      <c r="E13520" s="3"/>
    </row>
    <row r="13521">
      <c r="A13521" s="3"/>
      <c r="B13521" s="3"/>
      <c r="C13521" s="3"/>
      <c r="D13521" s="4"/>
      <c r="E13521" s="3"/>
    </row>
    <row r="13522">
      <c r="A13522" s="3"/>
      <c r="B13522" s="3"/>
      <c r="C13522" s="3"/>
      <c r="D13522" s="4"/>
      <c r="E13522" s="3"/>
    </row>
    <row r="13523">
      <c r="A13523" s="3"/>
      <c r="B13523" s="3"/>
      <c r="C13523" s="3"/>
      <c r="D13523" s="4"/>
      <c r="E13523" s="3"/>
    </row>
    <row r="13524">
      <c r="A13524" s="3"/>
      <c r="B13524" s="3"/>
      <c r="C13524" s="3"/>
      <c r="D13524" s="4"/>
      <c r="E13524" s="3"/>
    </row>
    <row r="13525">
      <c r="A13525" s="3"/>
      <c r="B13525" s="3"/>
      <c r="C13525" s="3"/>
      <c r="D13525" s="4"/>
      <c r="E13525" s="3"/>
    </row>
    <row r="13526">
      <c r="A13526" s="3"/>
      <c r="B13526" s="3"/>
      <c r="C13526" s="3"/>
      <c r="D13526" s="4"/>
      <c r="E13526" s="3"/>
    </row>
    <row r="13527">
      <c r="A13527" s="3"/>
      <c r="B13527" s="3"/>
      <c r="C13527" s="3"/>
      <c r="D13527" s="4"/>
      <c r="E13527" s="3"/>
    </row>
    <row r="13528">
      <c r="A13528" s="3"/>
      <c r="B13528" s="3"/>
      <c r="C13528" s="3"/>
      <c r="D13528" s="4"/>
      <c r="E13528" s="3"/>
    </row>
    <row r="13529">
      <c r="A13529" s="3"/>
      <c r="B13529" s="3"/>
      <c r="C13529" s="3"/>
      <c r="D13529" s="4"/>
      <c r="E13529" s="3"/>
    </row>
    <row r="13530">
      <c r="A13530" s="3"/>
      <c r="B13530" s="3"/>
      <c r="C13530" s="3"/>
      <c r="D13530" s="4"/>
      <c r="E13530" s="3"/>
    </row>
    <row r="13531">
      <c r="A13531" s="3"/>
      <c r="B13531" s="3"/>
      <c r="C13531" s="3"/>
      <c r="D13531" s="4"/>
      <c r="E13531" s="3"/>
    </row>
    <row r="13532">
      <c r="A13532" s="3"/>
      <c r="B13532" s="3"/>
      <c r="C13532" s="3"/>
      <c r="D13532" s="4"/>
      <c r="E13532" s="3"/>
    </row>
    <row r="13533">
      <c r="A13533" s="3"/>
      <c r="B13533" s="3"/>
      <c r="C13533" s="3"/>
      <c r="D13533" s="4"/>
      <c r="E13533" s="3"/>
    </row>
    <row r="13534">
      <c r="A13534" s="3"/>
      <c r="B13534" s="3"/>
      <c r="C13534" s="3"/>
      <c r="D13534" s="4"/>
      <c r="E13534" s="3"/>
    </row>
    <row r="13535">
      <c r="A13535" s="3"/>
      <c r="B13535" s="3"/>
      <c r="C13535" s="3"/>
      <c r="D13535" s="4"/>
      <c r="E13535" s="3"/>
    </row>
    <row r="13536">
      <c r="A13536" s="3"/>
      <c r="B13536" s="3"/>
      <c r="C13536" s="3"/>
      <c r="D13536" s="4"/>
      <c r="E13536" s="3"/>
    </row>
    <row r="13537">
      <c r="A13537" s="3"/>
      <c r="B13537" s="3"/>
      <c r="C13537" s="3"/>
      <c r="D13537" s="4"/>
      <c r="E13537" s="3"/>
    </row>
    <row r="13538">
      <c r="A13538" s="3"/>
      <c r="B13538" s="3"/>
      <c r="C13538" s="3"/>
      <c r="D13538" s="4"/>
      <c r="E13538" s="3"/>
    </row>
    <row r="13539">
      <c r="A13539" s="3"/>
      <c r="B13539" s="3"/>
      <c r="C13539" s="3"/>
      <c r="D13539" s="4"/>
      <c r="E13539" s="3"/>
    </row>
    <row r="13540">
      <c r="A13540" s="3"/>
      <c r="B13540" s="3"/>
      <c r="C13540" s="3"/>
      <c r="D13540" s="4"/>
      <c r="E13540" s="3"/>
    </row>
    <row r="13541">
      <c r="A13541" s="3"/>
      <c r="B13541" s="3"/>
      <c r="C13541" s="3"/>
      <c r="D13541" s="4"/>
      <c r="E13541" s="3"/>
    </row>
    <row r="13542">
      <c r="A13542" s="3"/>
      <c r="B13542" s="3"/>
      <c r="C13542" s="3"/>
      <c r="D13542" s="4"/>
      <c r="E13542" s="3"/>
    </row>
    <row r="13543">
      <c r="A13543" s="3"/>
      <c r="B13543" s="3"/>
      <c r="C13543" s="3"/>
      <c r="D13543" s="4"/>
      <c r="E13543" s="3"/>
    </row>
    <row r="13544">
      <c r="A13544" s="3"/>
      <c r="B13544" s="3"/>
      <c r="C13544" s="3"/>
      <c r="D13544" s="4"/>
      <c r="E13544" s="3"/>
    </row>
    <row r="13545">
      <c r="A13545" s="3"/>
      <c r="B13545" s="3"/>
      <c r="C13545" s="3"/>
      <c r="D13545" s="4"/>
      <c r="E13545" s="3"/>
    </row>
    <row r="13546">
      <c r="A13546" s="3"/>
      <c r="B13546" s="3"/>
      <c r="C13546" s="3"/>
      <c r="D13546" s="4"/>
      <c r="E13546" s="3"/>
    </row>
    <row r="13547">
      <c r="A13547" s="3"/>
      <c r="B13547" s="3"/>
      <c r="C13547" s="3"/>
      <c r="D13547" s="4"/>
      <c r="E13547" s="3"/>
    </row>
    <row r="13548">
      <c r="A13548" s="3"/>
      <c r="B13548" s="3"/>
      <c r="C13548" s="3"/>
      <c r="D13548" s="4"/>
      <c r="E13548" s="3"/>
    </row>
    <row r="13549">
      <c r="A13549" s="3"/>
      <c r="B13549" s="3"/>
      <c r="C13549" s="3"/>
      <c r="D13549" s="4"/>
      <c r="E13549" s="3"/>
    </row>
    <row r="13550">
      <c r="A13550" s="3"/>
      <c r="B13550" s="3"/>
      <c r="C13550" s="3"/>
      <c r="D13550" s="4"/>
      <c r="E13550" s="3"/>
    </row>
    <row r="13551">
      <c r="A13551" s="3"/>
      <c r="B13551" s="3"/>
      <c r="C13551" s="3"/>
      <c r="D13551" s="4"/>
      <c r="E13551" s="3"/>
    </row>
    <row r="13552">
      <c r="A13552" s="3"/>
      <c r="B13552" s="3"/>
      <c r="C13552" s="3"/>
      <c r="D13552" s="4"/>
      <c r="E13552" s="3"/>
    </row>
    <row r="13553">
      <c r="A13553" s="3"/>
      <c r="B13553" s="3"/>
      <c r="C13553" s="3"/>
      <c r="D13553" s="4"/>
      <c r="E13553" s="3"/>
    </row>
    <row r="13554">
      <c r="A13554" s="3"/>
      <c r="B13554" s="3"/>
      <c r="C13554" s="3"/>
      <c r="D13554" s="4"/>
      <c r="E13554" s="3"/>
    </row>
    <row r="13555">
      <c r="A13555" s="3"/>
      <c r="B13555" s="3"/>
      <c r="C13555" s="3"/>
      <c r="D13555" s="4"/>
      <c r="E13555" s="3"/>
    </row>
    <row r="13556">
      <c r="A13556" s="3"/>
      <c r="B13556" s="3"/>
      <c r="C13556" s="3"/>
      <c r="D13556" s="4"/>
      <c r="E13556" s="3"/>
    </row>
    <row r="13557">
      <c r="A13557" s="3"/>
      <c r="B13557" s="3"/>
      <c r="C13557" s="3"/>
      <c r="D13557" s="4"/>
      <c r="E13557" s="3"/>
    </row>
    <row r="13558">
      <c r="A13558" s="3"/>
      <c r="B13558" s="3"/>
      <c r="C13558" s="3"/>
      <c r="D13558" s="4"/>
      <c r="E13558" s="3"/>
    </row>
    <row r="13559">
      <c r="A13559" s="3"/>
      <c r="B13559" s="3"/>
      <c r="C13559" s="3"/>
      <c r="D13559" s="4"/>
      <c r="E13559" s="3"/>
    </row>
    <row r="13560">
      <c r="A13560" s="3"/>
      <c r="B13560" s="3"/>
      <c r="C13560" s="3"/>
      <c r="D13560" s="4"/>
      <c r="E13560" s="3"/>
    </row>
    <row r="13561">
      <c r="A13561" s="3"/>
      <c r="B13561" s="3"/>
      <c r="C13561" s="3"/>
      <c r="D13561" s="4"/>
      <c r="E13561" s="3"/>
    </row>
    <row r="13562">
      <c r="A13562" s="3"/>
      <c r="B13562" s="3"/>
      <c r="C13562" s="3"/>
      <c r="D13562" s="4"/>
      <c r="E13562" s="3"/>
    </row>
    <row r="13563">
      <c r="A13563" s="3"/>
      <c r="B13563" s="3"/>
      <c r="C13563" s="3"/>
      <c r="D13563" s="4"/>
      <c r="E13563" s="3"/>
    </row>
    <row r="13564">
      <c r="A13564" s="3"/>
      <c r="B13564" s="3"/>
      <c r="C13564" s="3"/>
      <c r="D13564" s="4"/>
      <c r="E13564" s="3"/>
    </row>
    <row r="13565">
      <c r="A13565" s="3"/>
      <c r="B13565" s="3"/>
      <c r="C13565" s="3"/>
      <c r="D13565" s="4"/>
      <c r="E13565" s="3"/>
    </row>
    <row r="13566">
      <c r="A13566" s="3"/>
      <c r="B13566" s="3"/>
      <c r="C13566" s="3"/>
      <c r="D13566" s="4"/>
      <c r="E13566" s="3"/>
    </row>
    <row r="13567">
      <c r="A13567" s="3"/>
      <c r="B13567" s="3"/>
      <c r="C13567" s="3"/>
      <c r="D13567" s="4"/>
      <c r="E13567" s="3"/>
    </row>
    <row r="13568">
      <c r="A13568" s="3"/>
      <c r="B13568" s="3"/>
      <c r="C13568" s="3"/>
      <c r="D13568" s="4"/>
      <c r="E13568" s="3"/>
    </row>
    <row r="13569">
      <c r="A13569" s="3"/>
      <c r="B13569" s="3"/>
      <c r="C13569" s="3"/>
      <c r="D13569" s="4"/>
      <c r="E13569" s="3"/>
    </row>
    <row r="13570">
      <c r="A13570" s="3"/>
      <c r="B13570" s="3"/>
      <c r="C13570" s="3"/>
      <c r="D13570" s="4"/>
      <c r="E13570" s="3"/>
    </row>
    <row r="13571">
      <c r="A13571" s="3"/>
      <c r="B13571" s="3"/>
      <c r="C13571" s="3"/>
      <c r="D13571" s="4"/>
      <c r="E13571" s="3"/>
    </row>
    <row r="13572">
      <c r="A13572" s="3"/>
      <c r="B13572" s="3"/>
      <c r="C13572" s="3"/>
      <c r="D13572" s="4"/>
      <c r="E13572" s="3"/>
    </row>
    <row r="13573">
      <c r="A13573" s="3"/>
      <c r="B13573" s="3"/>
      <c r="C13573" s="3"/>
      <c r="D13573" s="4"/>
      <c r="E13573" s="3"/>
    </row>
    <row r="13574">
      <c r="A13574" s="3"/>
      <c r="B13574" s="3"/>
      <c r="C13574" s="3"/>
      <c r="D13574" s="4"/>
      <c r="E13574" s="3"/>
    </row>
    <row r="13575">
      <c r="A13575" s="3"/>
      <c r="B13575" s="3"/>
      <c r="C13575" s="3"/>
      <c r="D13575" s="4"/>
      <c r="E13575" s="3"/>
    </row>
    <row r="13576">
      <c r="A13576" s="3"/>
      <c r="B13576" s="3"/>
      <c r="C13576" s="3"/>
      <c r="D13576" s="4"/>
      <c r="E13576" s="3"/>
    </row>
    <row r="13577">
      <c r="A13577" s="3"/>
      <c r="B13577" s="3"/>
      <c r="C13577" s="3"/>
      <c r="D13577" s="4"/>
      <c r="E13577" s="3"/>
    </row>
    <row r="13578">
      <c r="A13578" s="3"/>
      <c r="B13578" s="3"/>
      <c r="C13578" s="3"/>
      <c r="D13578" s="4"/>
      <c r="E13578" s="3"/>
    </row>
    <row r="13579">
      <c r="A13579" s="3"/>
      <c r="B13579" s="3"/>
      <c r="C13579" s="3"/>
      <c r="D13579" s="4"/>
      <c r="E13579" s="3"/>
    </row>
    <row r="13580">
      <c r="A13580" s="3"/>
      <c r="B13580" s="3"/>
      <c r="C13580" s="3"/>
      <c r="D13580" s="4"/>
      <c r="E13580" s="3"/>
    </row>
    <row r="13581">
      <c r="A13581" s="3"/>
      <c r="B13581" s="3"/>
      <c r="C13581" s="3"/>
      <c r="D13581" s="4"/>
      <c r="E13581" s="3"/>
    </row>
    <row r="13582">
      <c r="A13582" s="3"/>
      <c r="B13582" s="3"/>
      <c r="C13582" s="3"/>
      <c r="D13582" s="4"/>
      <c r="E13582" s="3"/>
    </row>
    <row r="13583">
      <c r="A13583" s="3"/>
      <c r="B13583" s="3"/>
      <c r="C13583" s="3"/>
      <c r="D13583" s="4"/>
      <c r="E13583" s="3"/>
    </row>
    <row r="13584">
      <c r="A13584" s="3"/>
      <c r="B13584" s="3"/>
      <c r="C13584" s="3"/>
      <c r="D13584" s="4"/>
      <c r="E13584" s="3"/>
    </row>
    <row r="13585">
      <c r="A13585" s="3"/>
      <c r="B13585" s="3"/>
      <c r="C13585" s="3"/>
      <c r="D13585" s="4"/>
      <c r="E13585" s="3"/>
    </row>
    <row r="13586">
      <c r="A13586" s="3"/>
      <c r="B13586" s="3"/>
      <c r="C13586" s="3"/>
      <c r="D13586" s="4"/>
      <c r="E13586" s="3"/>
    </row>
    <row r="13587">
      <c r="A13587" s="3"/>
      <c r="B13587" s="3"/>
      <c r="C13587" s="3"/>
      <c r="D13587" s="4"/>
      <c r="E13587" s="3"/>
    </row>
    <row r="13588">
      <c r="A13588" s="3"/>
      <c r="B13588" s="3"/>
      <c r="C13588" s="3"/>
      <c r="D13588" s="4"/>
      <c r="E13588" s="3"/>
    </row>
    <row r="13589">
      <c r="A13589" s="3"/>
      <c r="B13589" s="3"/>
      <c r="C13589" s="3"/>
      <c r="D13589" s="4"/>
      <c r="E13589" s="3"/>
    </row>
    <row r="13590">
      <c r="A13590" s="3"/>
      <c r="B13590" s="3"/>
      <c r="C13590" s="3"/>
      <c r="D13590" s="4"/>
      <c r="E13590" s="3"/>
    </row>
    <row r="13591">
      <c r="A13591" s="3"/>
      <c r="B13591" s="3"/>
      <c r="C13591" s="3"/>
      <c r="D13591" s="4"/>
      <c r="E13591" s="3"/>
    </row>
    <row r="13592">
      <c r="A13592" s="3"/>
      <c r="B13592" s="3"/>
      <c r="C13592" s="3"/>
      <c r="D13592" s="4"/>
      <c r="E13592" s="3"/>
    </row>
    <row r="13593">
      <c r="A13593" s="3"/>
      <c r="B13593" s="3"/>
      <c r="C13593" s="3"/>
      <c r="D13593" s="4"/>
      <c r="E13593" s="3"/>
    </row>
    <row r="13594">
      <c r="A13594" s="3"/>
      <c r="B13594" s="3"/>
      <c r="C13594" s="3"/>
      <c r="D13594" s="4"/>
      <c r="E13594" s="3"/>
    </row>
    <row r="13595">
      <c r="A13595" s="3"/>
      <c r="B13595" s="3"/>
      <c r="C13595" s="3"/>
      <c r="D13595" s="4"/>
      <c r="E13595" s="3"/>
    </row>
    <row r="13596">
      <c r="A13596" s="3"/>
      <c r="B13596" s="3"/>
      <c r="C13596" s="3"/>
      <c r="D13596" s="4"/>
      <c r="E13596" s="3"/>
    </row>
    <row r="13597">
      <c r="A13597" s="3"/>
      <c r="B13597" s="3"/>
      <c r="C13597" s="3"/>
      <c r="D13597" s="4"/>
      <c r="E13597" s="3"/>
    </row>
    <row r="13598">
      <c r="A13598" s="3"/>
      <c r="B13598" s="3"/>
      <c r="C13598" s="3"/>
      <c r="D13598" s="4"/>
      <c r="E13598" s="3"/>
    </row>
    <row r="13599">
      <c r="A13599" s="3"/>
      <c r="B13599" s="3"/>
      <c r="C13599" s="3"/>
      <c r="D13599" s="4"/>
      <c r="E13599" s="3"/>
    </row>
    <row r="13600">
      <c r="A13600" s="3"/>
      <c r="B13600" s="3"/>
      <c r="C13600" s="3"/>
      <c r="D13600" s="4"/>
      <c r="E13600" s="3"/>
    </row>
    <row r="13601">
      <c r="A13601" s="3"/>
      <c r="B13601" s="3"/>
      <c r="C13601" s="3"/>
      <c r="D13601" s="4"/>
      <c r="E13601" s="3"/>
    </row>
    <row r="13602">
      <c r="A13602" s="3"/>
      <c r="B13602" s="3"/>
      <c r="C13602" s="3"/>
      <c r="D13602" s="4"/>
      <c r="E13602" s="3"/>
    </row>
    <row r="13603">
      <c r="A13603" s="3"/>
      <c r="B13603" s="3"/>
      <c r="C13603" s="3"/>
      <c r="D13603" s="4"/>
      <c r="E13603" s="3"/>
    </row>
    <row r="13604">
      <c r="A13604" s="3"/>
      <c r="B13604" s="3"/>
      <c r="C13604" s="3"/>
      <c r="D13604" s="4"/>
      <c r="E13604" s="3"/>
    </row>
    <row r="13605">
      <c r="A13605" s="3"/>
      <c r="B13605" s="3"/>
      <c r="C13605" s="3"/>
      <c r="D13605" s="4"/>
      <c r="E13605" s="3"/>
    </row>
    <row r="13606">
      <c r="A13606" s="3"/>
      <c r="B13606" s="3"/>
      <c r="C13606" s="3"/>
      <c r="D13606" s="4"/>
      <c r="E13606" s="3"/>
    </row>
    <row r="13607">
      <c r="A13607" s="3"/>
      <c r="B13607" s="3"/>
      <c r="C13607" s="3"/>
      <c r="D13607" s="4"/>
      <c r="E13607" s="3"/>
    </row>
    <row r="13608">
      <c r="A13608" s="3"/>
      <c r="B13608" s="3"/>
      <c r="C13608" s="3"/>
      <c r="D13608" s="4"/>
      <c r="E13608" s="3"/>
    </row>
    <row r="13609">
      <c r="A13609" s="3"/>
      <c r="B13609" s="3"/>
      <c r="C13609" s="3"/>
      <c r="D13609" s="4"/>
      <c r="E13609" s="3"/>
    </row>
    <row r="13610">
      <c r="A13610" s="3"/>
      <c r="B13610" s="3"/>
      <c r="C13610" s="3"/>
      <c r="D13610" s="4"/>
      <c r="E13610" s="3"/>
    </row>
    <row r="13611">
      <c r="A13611" s="3"/>
      <c r="B13611" s="3"/>
      <c r="C13611" s="3"/>
      <c r="D13611" s="4"/>
      <c r="E13611" s="3"/>
    </row>
    <row r="13612">
      <c r="A13612" s="3"/>
      <c r="B13612" s="3"/>
      <c r="C13612" s="3"/>
      <c r="D13612" s="4"/>
      <c r="E13612" s="3"/>
    </row>
    <row r="13613">
      <c r="A13613" s="3"/>
      <c r="B13613" s="3"/>
      <c r="C13613" s="3"/>
      <c r="D13613" s="4"/>
      <c r="E13613" s="3"/>
    </row>
    <row r="13614">
      <c r="A13614" s="3"/>
      <c r="B13614" s="3"/>
      <c r="C13614" s="3"/>
      <c r="D13614" s="4"/>
      <c r="E13614" s="3"/>
    </row>
    <row r="13615">
      <c r="A13615" s="3"/>
      <c r="B13615" s="3"/>
      <c r="C13615" s="3"/>
      <c r="D13615" s="4"/>
      <c r="E13615" s="3"/>
    </row>
    <row r="13616">
      <c r="A13616" s="3"/>
      <c r="B13616" s="3"/>
      <c r="C13616" s="3"/>
      <c r="D13616" s="4"/>
      <c r="E13616" s="3"/>
    </row>
    <row r="13617">
      <c r="A13617" s="3"/>
      <c r="B13617" s="3"/>
      <c r="C13617" s="3"/>
      <c r="D13617" s="4"/>
      <c r="E13617" s="3"/>
    </row>
    <row r="13618">
      <c r="A13618" s="3"/>
      <c r="B13618" s="3"/>
      <c r="C13618" s="3"/>
      <c r="D13618" s="4"/>
      <c r="E13618" s="3"/>
    </row>
    <row r="13619">
      <c r="A13619" s="3"/>
      <c r="B13619" s="3"/>
      <c r="C13619" s="3"/>
      <c r="D13619" s="4"/>
      <c r="E13619" s="3"/>
    </row>
    <row r="13620">
      <c r="A13620" s="3"/>
      <c r="B13620" s="3"/>
      <c r="C13620" s="3"/>
      <c r="D13620" s="4"/>
      <c r="E13620" s="3"/>
    </row>
    <row r="13621">
      <c r="A13621" s="3"/>
      <c r="B13621" s="3"/>
      <c r="C13621" s="3"/>
      <c r="D13621" s="4"/>
      <c r="E13621" s="3"/>
    </row>
    <row r="13622">
      <c r="A13622" s="3"/>
      <c r="B13622" s="3"/>
      <c r="C13622" s="3"/>
      <c r="D13622" s="4"/>
      <c r="E13622" s="3"/>
    </row>
    <row r="13623">
      <c r="A13623" s="3"/>
      <c r="B13623" s="3"/>
      <c r="C13623" s="3"/>
      <c r="D13623" s="4"/>
      <c r="E13623" s="3"/>
    </row>
    <row r="13624">
      <c r="A13624" s="3"/>
      <c r="B13624" s="3"/>
      <c r="C13624" s="3"/>
      <c r="D13624" s="4"/>
      <c r="E13624" s="3"/>
    </row>
    <row r="13625">
      <c r="A13625" s="3"/>
      <c r="B13625" s="3"/>
      <c r="C13625" s="3"/>
      <c r="D13625" s="4"/>
      <c r="E13625" s="3"/>
    </row>
    <row r="13626">
      <c r="A13626" s="3"/>
      <c r="B13626" s="3"/>
      <c r="C13626" s="3"/>
      <c r="D13626" s="4"/>
      <c r="E13626" s="3"/>
    </row>
    <row r="13627">
      <c r="A13627" s="3"/>
      <c r="B13627" s="3"/>
      <c r="C13627" s="3"/>
      <c r="D13627" s="4"/>
      <c r="E13627" s="3"/>
    </row>
    <row r="13628">
      <c r="A13628" s="3"/>
      <c r="B13628" s="3"/>
      <c r="C13628" s="3"/>
      <c r="D13628" s="4"/>
      <c r="E13628" s="3"/>
    </row>
    <row r="13629">
      <c r="A13629" s="3"/>
      <c r="B13629" s="3"/>
      <c r="C13629" s="3"/>
      <c r="D13629" s="4"/>
      <c r="E13629" s="3"/>
    </row>
    <row r="13630">
      <c r="A13630" s="3"/>
      <c r="B13630" s="3"/>
      <c r="C13630" s="3"/>
      <c r="D13630" s="4"/>
      <c r="E13630" s="3"/>
    </row>
    <row r="13631">
      <c r="A13631" s="3"/>
      <c r="B13631" s="3"/>
      <c r="C13631" s="3"/>
      <c r="D13631" s="4"/>
      <c r="E13631" s="3"/>
    </row>
    <row r="13632">
      <c r="A13632" s="3"/>
      <c r="B13632" s="3"/>
      <c r="C13632" s="3"/>
      <c r="D13632" s="4"/>
      <c r="E13632" s="3"/>
    </row>
    <row r="13633">
      <c r="A13633" s="3"/>
      <c r="B13633" s="3"/>
      <c r="C13633" s="3"/>
      <c r="D13633" s="4"/>
      <c r="E13633" s="3"/>
    </row>
    <row r="13634">
      <c r="A13634" s="3"/>
      <c r="B13634" s="3"/>
      <c r="C13634" s="3"/>
      <c r="D13634" s="4"/>
      <c r="E13634" s="3"/>
    </row>
    <row r="13635">
      <c r="A13635" s="3"/>
      <c r="B13635" s="3"/>
      <c r="C13635" s="3"/>
      <c r="D13635" s="4"/>
      <c r="E13635" s="3"/>
    </row>
    <row r="13636">
      <c r="A13636" s="3"/>
      <c r="B13636" s="3"/>
      <c r="C13636" s="3"/>
      <c r="D13636" s="4"/>
      <c r="E13636" s="3"/>
    </row>
    <row r="13637">
      <c r="A13637" s="3"/>
      <c r="B13637" s="3"/>
      <c r="C13637" s="3"/>
      <c r="D13637" s="4"/>
      <c r="E13637" s="3"/>
    </row>
    <row r="13638">
      <c r="A13638" s="3"/>
      <c r="B13638" s="3"/>
      <c r="C13638" s="3"/>
      <c r="D13638" s="4"/>
      <c r="E13638" s="3"/>
    </row>
    <row r="13639">
      <c r="A13639" s="3"/>
      <c r="B13639" s="3"/>
      <c r="C13639" s="3"/>
      <c r="D13639" s="4"/>
      <c r="E13639" s="3"/>
    </row>
    <row r="13640">
      <c r="A13640" s="3"/>
      <c r="B13640" s="3"/>
      <c r="C13640" s="3"/>
      <c r="D13640" s="4"/>
      <c r="E13640" s="3"/>
    </row>
    <row r="13641">
      <c r="A13641" s="3"/>
      <c r="B13641" s="3"/>
      <c r="C13641" s="3"/>
      <c r="D13641" s="4"/>
      <c r="E13641" s="3"/>
    </row>
    <row r="13642">
      <c r="A13642" s="3"/>
      <c r="B13642" s="3"/>
      <c r="C13642" s="3"/>
      <c r="D13642" s="4"/>
      <c r="E13642" s="3"/>
    </row>
    <row r="13643">
      <c r="A13643" s="3"/>
      <c r="B13643" s="3"/>
      <c r="C13643" s="3"/>
      <c r="D13643" s="4"/>
      <c r="E13643" s="3"/>
    </row>
    <row r="13644">
      <c r="A13644" s="3"/>
      <c r="B13644" s="3"/>
      <c r="C13644" s="3"/>
      <c r="D13644" s="4"/>
      <c r="E13644" s="3"/>
    </row>
    <row r="13645">
      <c r="A13645" s="3"/>
      <c r="B13645" s="3"/>
      <c r="C13645" s="3"/>
      <c r="D13645" s="4"/>
      <c r="E13645" s="3"/>
    </row>
    <row r="13646">
      <c r="A13646" s="3"/>
      <c r="B13646" s="3"/>
      <c r="C13646" s="3"/>
      <c r="D13646" s="4"/>
      <c r="E13646" s="3"/>
    </row>
    <row r="13647">
      <c r="A13647" s="3"/>
      <c r="B13647" s="3"/>
      <c r="C13647" s="3"/>
      <c r="D13647" s="4"/>
      <c r="E13647" s="3"/>
    </row>
    <row r="13648">
      <c r="A13648" s="3"/>
      <c r="B13648" s="3"/>
      <c r="C13648" s="3"/>
      <c r="D13648" s="4"/>
      <c r="E13648" s="3"/>
    </row>
    <row r="13649">
      <c r="A13649" s="3"/>
      <c r="B13649" s="3"/>
      <c r="C13649" s="3"/>
      <c r="D13649" s="4"/>
      <c r="E13649" s="3"/>
    </row>
    <row r="13650">
      <c r="A13650" s="3"/>
      <c r="B13650" s="3"/>
      <c r="C13650" s="3"/>
      <c r="D13650" s="4"/>
      <c r="E13650" s="3"/>
    </row>
    <row r="13651">
      <c r="A13651" s="3"/>
      <c r="B13651" s="3"/>
      <c r="C13651" s="3"/>
      <c r="D13651" s="4"/>
      <c r="E13651" s="3"/>
    </row>
    <row r="13652">
      <c r="A13652" s="3"/>
      <c r="B13652" s="3"/>
      <c r="C13652" s="3"/>
      <c r="D13652" s="4"/>
      <c r="E13652" s="3"/>
    </row>
    <row r="13653">
      <c r="A13653" s="3"/>
      <c r="B13653" s="3"/>
      <c r="C13653" s="3"/>
      <c r="D13653" s="4"/>
      <c r="E13653" s="3"/>
    </row>
    <row r="13654">
      <c r="A13654" s="3"/>
      <c r="B13654" s="3"/>
      <c r="C13654" s="3"/>
      <c r="D13654" s="4"/>
      <c r="E13654" s="3"/>
    </row>
    <row r="13655">
      <c r="A13655" s="3"/>
      <c r="B13655" s="3"/>
      <c r="C13655" s="3"/>
      <c r="D13655" s="4"/>
      <c r="E13655" s="3"/>
    </row>
    <row r="13656">
      <c r="A13656" s="3"/>
      <c r="B13656" s="3"/>
      <c r="C13656" s="3"/>
      <c r="D13656" s="4"/>
      <c r="E13656" s="3"/>
    </row>
    <row r="13657">
      <c r="A13657" s="3"/>
      <c r="B13657" s="3"/>
      <c r="C13657" s="3"/>
      <c r="D13657" s="4"/>
      <c r="E13657" s="3"/>
    </row>
    <row r="13658">
      <c r="A13658" s="3"/>
      <c r="B13658" s="3"/>
      <c r="C13658" s="3"/>
      <c r="D13658" s="4"/>
      <c r="E13658" s="3"/>
    </row>
    <row r="13659">
      <c r="A13659" s="3"/>
      <c r="B13659" s="3"/>
      <c r="C13659" s="3"/>
      <c r="D13659" s="4"/>
      <c r="E13659" s="3"/>
    </row>
    <row r="13660">
      <c r="A13660" s="3"/>
      <c r="B13660" s="3"/>
      <c r="C13660" s="3"/>
      <c r="D13660" s="4"/>
      <c r="E13660" s="3"/>
    </row>
    <row r="13661">
      <c r="A13661" s="3"/>
      <c r="B13661" s="3"/>
      <c r="C13661" s="3"/>
      <c r="D13661" s="4"/>
      <c r="E13661" s="3"/>
    </row>
    <row r="13662">
      <c r="A13662" s="3"/>
      <c r="B13662" s="3"/>
      <c r="C13662" s="3"/>
      <c r="D13662" s="4"/>
      <c r="E13662" s="3"/>
    </row>
    <row r="13663">
      <c r="A13663" s="3"/>
      <c r="B13663" s="3"/>
      <c r="C13663" s="3"/>
      <c r="D13663" s="4"/>
      <c r="E13663" s="3"/>
    </row>
    <row r="13664">
      <c r="A13664" s="3"/>
      <c r="B13664" s="3"/>
      <c r="C13664" s="3"/>
      <c r="D13664" s="4"/>
      <c r="E13664" s="3"/>
    </row>
    <row r="13665">
      <c r="A13665" s="3"/>
      <c r="B13665" s="3"/>
      <c r="C13665" s="3"/>
      <c r="D13665" s="4"/>
      <c r="E13665" s="3"/>
    </row>
    <row r="13666">
      <c r="A13666" s="3"/>
      <c r="B13666" s="3"/>
      <c r="C13666" s="3"/>
      <c r="D13666" s="4"/>
      <c r="E13666" s="3"/>
    </row>
    <row r="13667">
      <c r="A13667" s="3"/>
      <c r="B13667" s="3"/>
      <c r="C13667" s="3"/>
      <c r="D13667" s="4"/>
      <c r="E13667" s="3"/>
    </row>
    <row r="13668">
      <c r="A13668" s="3"/>
      <c r="B13668" s="3"/>
      <c r="C13668" s="3"/>
      <c r="D13668" s="4"/>
      <c r="E13668" s="3"/>
    </row>
    <row r="13669">
      <c r="A13669" s="3"/>
      <c r="B13669" s="3"/>
      <c r="C13669" s="3"/>
      <c r="D13669" s="4"/>
      <c r="E13669" s="3"/>
    </row>
    <row r="13670">
      <c r="A13670" s="3"/>
      <c r="B13670" s="3"/>
      <c r="C13670" s="3"/>
      <c r="D13670" s="4"/>
      <c r="E13670" s="3"/>
    </row>
    <row r="13671">
      <c r="A13671" s="3"/>
      <c r="B13671" s="3"/>
      <c r="C13671" s="3"/>
      <c r="D13671" s="4"/>
      <c r="E13671" s="3"/>
    </row>
    <row r="13672">
      <c r="A13672" s="3"/>
      <c r="B13672" s="3"/>
      <c r="C13672" s="3"/>
      <c r="D13672" s="4"/>
      <c r="E13672" s="3"/>
    </row>
    <row r="13673">
      <c r="A13673" s="3"/>
      <c r="B13673" s="3"/>
      <c r="C13673" s="3"/>
      <c r="D13673" s="4"/>
      <c r="E13673" s="3"/>
    </row>
    <row r="13674">
      <c r="A13674" s="3"/>
      <c r="B13674" s="3"/>
      <c r="C13674" s="3"/>
      <c r="D13674" s="4"/>
      <c r="E13674" s="3"/>
    </row>
    <row r="13675">
      <c r="A13675" s="3"/>
      <c r="B13675" s="3"/>
      <c r="C13675" s="3"/>
      <c r="D13675" s="4"/>
      <c r="E13675" s="3"/>
    </row>
    <row r="13676">
      <c r="A13676" s="3"/>
      <c r="B13676" s="3"/>
      <c r="C13676" s="3"/>
      <c r="D13676" s="4"/>
      <c r="E13676" s="3"/>
    </row>
    <row r="13677">
      <c r="A13677" s="3"/>
      <c r="B13677" s="3"/>
      <c r="C13677" s="3"/>
      <c r="D13677" s="4"/>
      <c r="E13677" s="3"/>
    </row>
    <row r="13678">
      <c r="A13678" s="3"/>
      <c r="B13678" s="3"/>
      <c r="C13678" s="3"/>
      <c r="D13678" s="4"/>
      <c r="E13678" s="3"/>
    </row>
    <row r="13679">
      <c r="A13679" s="3"/>
      <c r="B13679" s="3"/>
      <c r="C13679" s="3"/>
      <c r="D13679" s="4"/>
      <c r="E13679" s="3"/>
    </row>
    <row r="13680">
      <c r="A13680" s="3"/>
      <c r="B13680" s="3"/>
      <c r="C13680" s="3"/>
      <c r="D13680" s="4"/>
      <c r="E13680" s="3"/>
    </row>
    <row r="13681">
      <c r="A13681" s="3"/>
      <c r="B13681" s="3"/>
      <c r="C13681" s="3"/>
      <c r="D13681" s="4"/>
      <c r="E13681" s="3"/>
    </row>
    <row r="13682">
      <c r="A13682" s="3"/>
      <c r="B13682" s="3"/>
      <c r="C13682" s="3"/>
      <c r="D13682" s="4"/>
      <c r="E13682" s="3"/>
    </row>
    <row r="13683">
      <c r="A13683" s="3"/>
      <c r="B13683" s="3"/>
      <c r="C13683" s="3"/>
      <c r="D13683" s="4"/>
      <c r="E13683" s="3"/>
    </row>
    <row r="13684">
      <c r="A13684" s="3"/>
      <c r="B13684" s="3"/>
      <c r="C13684" s="3"/>
      <c r="D13684" s="4"/>
      <c r="E13684" s="3"/>
    </row>
    <row r="13685">
      <c r="A13685" s="3"/>
      <c r="B13685" s="3"/>
      <c r="C13685" s="3"/>
      <c r="D13685" s="4"/>
      <c r="E13685" s="3"/>
    </row>
    <row r="13686">
      <c r="A13686" s="3"/>
      <c r="B13686" s="3"/>
      <c r="C13686" s="3"/>
      <c r="D13686" s="4"/>
      <c r="E13686" s="3"/>
    </row>
    <row r="13687">
      <c r="A13687" s="3"/>
      <c r="B13687" s="3"/>
      <c r="C13687" s="3"/>
      <c r="D13687" s="4"/>
      <c r="E13687" s="3"/>
    </row>
    <row r="13688">
      <c r="A13688" s="3"/>
      <c r="B13688" s="3"/>
      <c r="C13688" s="3"/>
      <c r="D13688" s="4"/>
      <c r="E13688" s="3"/>
    </row>
    <row r="13689">
      <c r="A13689" s="3"/>
      <c r="B13689" s="3"/>
      <c r="C13689" s="3"/>
      <c r="D13689" s="4"/>
      <c r="E13689" s="3"/>
    </row>
    <row r="13690">
      <c r="A13690" s="3"/>
      <c r="B13690" s="3"/>
      <c r="C13690" s="3"/>
      <c r="D13690" s="4"/>
      <c r="E13690" s="3"/>
    </row>
    <row r="13691">
      <c r="A13691" s="3"/>
      <c r="B13691" s="3"/>
      <c r="C13691" s="3"/>
      <c r="D13691" s="4"/>
      <c r="E13691" s="3"/>
    </row>
    <row r="13692">
      <c r="A13692" s="3"/>
      <c r="B13692" s="3"/>
      <c r="C13692" s="3"/>
      <c r="D13692" s="4"/>
      <c r="E13692" s="3"/>
    </row>
    <row r="13693">
      <c r="A13693" s="3"/>
      <c r="B13693" s="3"/>
      <c r="C13693" s="3"/>
      <c r="D13693" s="4"/>
      <c r="E13693" s="3"/>
    </row>
    <row r="13694">
      <c r="A13694" s="3"/>
      <c r="B13694" s="3"/>
      <c r="C13694" s="3"/>
      <c r="D13694" s="4"/>
      <c r="E13694" s="3"/>
    </row>
    <row r="13695">
      <c r="A13695" s="3"/>
      <c r="B13695" s="3"/>
      <c r="C13695" s="3"/>
      <c r="D13695" s="4"/>
      <c r="E13695" s="3"/>
    </row>
    <row r="13696">
      <c r="A13696" s="3"/>
      <c r="B13696" s="3"/>
      <c r="C13696" s="3"/>
      <c r="D13696" s="4"/>
      <c r="E13696" s="3"/>
    </row>
    <row r="13697">
      <c r="A13697" s="3"/>
      <c r="B13697" s="3"/>
      <c r="C13697" s="3"/>
      <c r="D13697" s="4"/>
      <c r="E13697" s="3"/>
    </row>
    <row r="13698">
      <c r="A13698" s="3"/>
      <c r="B13698" s="3"/>
      <c r="C13698" s="3"/>
      <c r="D13698" s="4"/>
      <c r="E13698" s="3"/>
    </row>
    <row r="13699">
      <c r="A13699" s="3"/>
      <c r="B13699" s="3"/>
      <c r="C13699" s="3"/>
      <c r="D13699" s="4"/>
      <c r="E13699" s="3"/>
    </row>
    <row r="13700">
      <c r="A13700" s="3"/>
      <c r="B13700" s="3"/>
      <c r="C13700" s="3"/>
      <c r="D13700" s="4"/>
      <c r="E13700" s="3"/>
    </row>
    <row r="13701">
      <c r="A13701" s="3"/>
      <c r="B13701" s="3"/>
      <c r="C13701" s="3"/>
      <c r="D13701" s="4"/>
      <c r="E13701" s="3"/>
    </row>
    <row r="13702">
      <c r="A13702" s="3"/>
      <c r="B13702" s="3"/>
      <c r="C13702" s="3"/>
      <c r="D13702" s="4"/>
      <c r="E13702" s="3"/>
    </row>
    <row r="13703">
      <c r="A13703" s="3"/>
      <c r="B13703" s="3"/>
      <c r="C13703" s="3"/>
      <c r="D13703" s="4"/>
      <c r="E13703" s="3"/>
    </row>
    <row r="13704">
      <c r="A13704" s="3"/>
      <c r="B13704" s="3"/>
      <c r="C13704" s="3"/>
      <c r="D13704" s="4"/>
      <c r="E13704" s="3"/>
    </row>
    <row r="13705">
      <c r="A13705" s="3"/>
      <c r="B13705" s="3"/>
      <c r="C13705" s="3"/>
      <c r="D13705" s="4"/>
      <c r="E13705" s="3"/>
    </row>
    <row r="13706">
      <c r="A13706" s="3"/>
      <c r="B13706" s="3"/>
      <c r="C13706" s="3"/>
      <c r="D13706" s="4"/>
      <c r="E13706" s="3"/>
    </row>
    <row r="13707">
      <c r="A13707" s="3"/>
      <c r="B13707" s="3"/>
      <c r="C13707" s="3"/>
      <c r="D13707" s="4"/>
      <c r="E13707" s="3"/>
    </row>
    <row r="13708">
      <c r="A13708" s="3"/>
      <c r="B13708" s="3"/>
      <c r="C13708" s="3"/>
      <c r="D13708" s="4"/>
      <c r="E13708" s="3"/>
    </row>
    <row r="13709">
      <c r="A13709" s="3"/>
      <c r="B13709" s="3"/>
      <c r="C13709" s="3"/>
      <c r="D13709" s="4"/>
      <c r="E13709" s="3"/>
    </row>
    <row r="13710">
      <c r="A13710" s="3"/>
      <c r="B13710" s="3"/>
      <c r="C13710" s="3"/>
      <c r="D13710" s="4"/>
      <c r="E13710" s="3"/>
    </row>
    <row r="13711">
      <c r="A13711" s="3"/>
      <c r="B13711" s="3"/>
      <c r="C13711" s="3"/>
      <c r="D13711" s="4"/>
      <c r="E13711" s="3"/>
    </row>
    <row r="13712">
      <c r="A13712" s="3"/>
      <c r="B13712" s="3"/>
      <c r="C13712" s="3"/>
      <c r="D13712" s="4"/>
      <c r="E13712" s="3"/>
    </row>
    <row r="13713">
      <c r="A13713" s="3"/>
      <c r="B13713" s="3"/>
      <c r="C13713" s="3"/>
      <c r="D13713" s="4"/>
      <c r="E13713" s="3"/>
    </row>
    <row r="13714">
      <c r="A13714" s="3"/>
      <c r="B13714" s="3"/>
      <c r="C13714" s="3"/>
      <c r="D13714" s="4"/>
      <c r="E13714" s="3"/>
    </row>
    <row r="13715">
      <c r="A13715" s="3"/>
      <c r="B13715" s="3"/>
      <c r="C13715" s="3"/>
      <c r="D13715" s="4"/>
      <c r="E13715" s="3"/>
    </row>
    <row r="13716">
      <c r="A13716" s="3"/>
      <c r="B13716" s="3"/>
      <c r="C13716" s="3"/>
      <c r="D13716" s="4"/>
      <c r="E13716" s="3"/>
    </row>
    <row r="13717">
      <c r="A13717" s="3"/>
      <c r="B13717" s="3"/>
      <c r="C13717" s="3"/>
      <c r="D13717" s="4"/>
      <c r="E13717" s="3"/>
    </row>
    <row r="13718">
      <c r="A13718" s="3"/>
      <c r="B13718" s="3"/>
      <c r="C13718" s="3"/>
      <c r="D13718" s="4"/>
      <c r="E13718" s="3"/>
    </row>
    <row r="13719">
      <c r="A13719" s="3"/>
      <c r="B13719" s="3"/>
      <c r="C13719" s="3"/>
      <c r="D13719" s="4"/>
      <c r="E13719" s="3"/>
    </row>
    <row r="13720">
      <c r="A13720" s="3"/>
      <c r="B13720" s="3"/>
      <c r="C13720" s="3"/>
      <c r="D13720" s="4"/>
      <c r="E13720" s="3"/>
    </row>
    <row r="13721">
      <c r="A13721" s="3"/>
      <c r="B13721" s="3"/>
      <c r="C13721" s="3"/>
      <c r="D13721" s="4"/>
      <c r="E13721" s="3"/>
    </row>
    <row r="13722">
      <c r="A13722" s="3"/>
      <c r="B13722" s="3"/>
      <c r="C13722" s="3"/>
      <c r="D13722" s="4"/>
      <c r="E13722" s="3"/>
    </row>
    <row r="13723">
      <c r="A13723" s="3"/>
      <c r="B13723" s="3"/>
      <c r="C13723" s="3"/>
      <c r="D13723" s="4"/>
      <c r="E13723" s="3"/>
    </row>
    <row r="13724">
      <c r="A13724" s="3"/>
      <c r="B13724" s="3"/>
      <c r="C13724" s="3"/>
      <c r="D13724" s="4"/>
      <c r="E13724" s="3"/>
    </row>
    <row r="13725">
      <c r="A13725" s="3"/>
      <c r="B13725" s="3"/>
      <c r="C13725" s="3"/>
      <c r="D13725" s="4"/>
      <c r="E13725" s="3"/>
    </row>
    <row r="13726">
      <c r="A13726" s="3"/>
      <c r="B13726" s="3"/>
      <c r="C13726" s="3"/>
      <c r="D13726" s="4"/>
      <c r="E13726" s="3"/>
    </row>
    <row r="13727">
      <c r="A13727" s="3"/>
      <c r="B13727" s="3"/>
      <c r="C13727" s="3"/>
      <c r="D13727" s="4"/>
      <c r="E13727" s="3"/>
    </row>
    <row r="13728">
      <c r="A13728" s="3"/>
      <c r="B13728" s="3"/>
      <c r="C13728" s="3"/>
      <c r="D13728" s="4"/>
      <c r="E13728" s="3"/>
    </row>
    <row r="13729">
      <c r="A13729" s="3"/>
      <c r="B13729" s="3"/>
      <c r="C13729" s="3"/>
      <c r="D13729" s="4"/>
      <c r="E13729" s="3"/>
    </row>
    <row r="13730">
      <c r="A13730" s="3"/>
      <c r="B13730" s="3"/>
      <c r="C13730" s="3"/>
      <c r="D13730" s="4"/>
      <c r="E13730" s="3"/>
    </row>
    <row r="13731">
      <c r="A13731" s="3"/>
      <c r="B13731" s="3"/>
      <c r="C13731" s="3"/>
      <c r="D13731" s="4"/>
      <c r="E13731" s="3"/>
    </row>
    <row r="13732">
      <c r="A13732" s="3"/>
      <c r="B13732" s="3"/>
      <c r="C13732" s="3"/>
      <c r="D13732" s="4"/>
      <c r="E13732" s="3"/>
    </row>
    <row r="13733">
      <c r="A13733" s="3"/>
      <c r="B13733" s="3"/>
      <c r="C13733" s="3"/>
      <c r="D13733" s="4"/>
      <c r="E13733" s="3"/>
    </row>
    <row r="13734">
      <c r="A13734" s="3"/>
      <c r="B13734" s="3"/>
      <c r="C13734" s="3"/>
      <c r="D13734" s="4"/>
      <c r="E13734" s="3"/>
    </row>
    <row r="13735">
      <c r="A13735" s="3"/>
      <c r="B13735" s="3"/>
      <c r="C13735" s="3"/>
      <c r="D13735" s="4"/>
      <c r="E13735" s="3"/>
    </row>
    <row r="13736">
      <c r="A13736" s="3"/>
      <c r="B13736" s="3"/>
      <c r="C13736" s="3"/>
      <c r="D13736" s="4"/>
      <c r="E13736" s="3"/>
    </row>
    <row r="13737">
      <c r="A13737" s="3"/>
      <c r="B13737" s="3"/>
      <c r="C13737" s="3"/>
      <c r="D13737" s="4"/>
      <c r="E13737" s="3"/>
    </row>
    <row r="13738">
      <c r="A13738" s="3"/>
      <c r="B13738" s="3"/>
      <c r="C13738" s="3"/>
      <c r="D13738" s="4"/>
      <c r="E13738" s="3"/>
    </row>
    <row r="13739">
      <c r="A13739" s="3"/>
      <c r="B13739" s="3"/>
      <c r="C13739" s="3"/>
      <c r="D13739" s="4"/>
      <c r="E13739" s="3"/>
    </row>
    <row r="13740">
      <c r="A13740" s="3"/>
      <c r="B13740" s="3"/>
      <c r="C13740" s="3"/>
      <c r="D13740" s="4"/>
      <c r="E13740" s="3"/>
    </row>
    <row r="13741">
      <c r="A13741" s="3"/>
      <c r="B13741" s="3"/>
      <c r="C13741" s="3"/>
      <c r="D13741" s="4"/>
      <c r="E13741" s="3"/>
    </row>
    <row r="13742">
      <c r="A13742" s="3"/>
      <c r="B13742" s="3"/>
      <c r="C13742" s="3"/>
      <c r="D13742" s="4"/>
      <c r="E13742" s="3"/>
    </row>
    <row r="13743">
      <c r="A13743" s="3"/>
      <c r="B13743" s="3"/>
      <c r="C13743" s="3"/>
      <c r="D13743" s="4"/>
      <c r="E13743" s="3"/>
    </row>
    <row r="13744">
      <c r="A13744" s="3"/>
      <c r="B13744" s="3"/>
      <c r="C13744" s="3"/>
      <c r="D13744" s="4"/>
      <c r="E13744" s="3"/>
    </row>
    <row r="13745">
      <c r="A13745" s="3"/>
      <c r="B13745" s="3"/>
      <c r="C13745" s="3"/>
      <c r="D13745" s="4"/>
      <c r="E13745" s="3"/>
    </row>
    <row r="13746">
      <c r="A13746" s="3"/>
      <c r="B13746" s="3"/>
      <c r="C13746" s="3"/>
      <c r="D13746" s="4"/>
      <c r="E13746" s="3"/>
    </row>
    <row r="13747">
      <c r="A13747" s="3"/>
      <c r="B13747" s="3"/>
      <c r="C13747" s="3"/>
      <c r="D13747" s="4"/>
      <c r="E13747" s="3"/>
    </row>
    <row r="13748">
      <c r="A13748" s="3"/>
      <c r="B13748" s="3"/>
      <c r="C13748" s="3"/>
      <c r="D13748" s="4"/>
      <c r="E13748" s="3"/>
    </row>
    <row r="13749">
      <c r="A13749" s="3"/>
      <c r="B13749" s="3"/>
      <c r="C13749" s="3"/>
      <c r="D13749" s="4"/>
      <c r="E13749" s="3"/>
    </row>
    <row r="13750">
      <c r="A13750" s="3"/>
      <c r="B13750" s="3"/>
      <c r="C13750" s="3"/>
      <c r="D13750" s="4"/>
      <c r="E13750" s="3"/>
    </row>
    <row r="13751">
      <c r="A13751" s="3"/>
      <c r="B13751" s="3"/>
      <c r="C13751" s="3"/>
      <c r="D13751" s="4"/>
      <c r="E13751" s="3"/>
    </row>
    <row r="13752">
      <c r="A13752" s="3"/>
      <c r="B13752" s="3"/>
      <c r="C13752" s="3"/>
      <c r="D13752" s="4"/>
      <c r="E13752" s="3"/>
    </row>
    <row r="13753">
      <c r="A13753" s="3"/>
      <c r="B13753" s="3"/>
      <c r="C13753" s="3"/>
      <c r="D13753" s="4"/>
      <c r="E13753" s="3"/>
    </row>
    <row r="13754">
      <c r="A13754" s="3"/>
      <c r="B13754" s="3"/>
      <c r="C13754" s="3"/>
      <c r="D13754" s="4"/>
      <c r="E13754" s="3"/>
    </row>
    <row r="13755">
      <c r="A13755" s="3"/>
      <c r="B13755" s="3"/>
      <c r="C13755" s="3"/>
      <c r="D13755" s="4"/>
      <c r="E13755" s="3"/>
    </row>
    <row r="13756">
      <c r="A13756" s="3"/>
      <c r="B13756" s="3"/>
      <c r="C13756" s="3"/>
      <c r="D13756" s="4"/>
      <c r="E13756" s="3"/>
    </row>
    <row r="13757">
      <c r="A13757" s="3"/>
      <c r="B13757" s="3"/>
      <c r="C13757" s="3"/>
      <c r="D13757" s="4"/>
      <c r="E13757" s="3"/>
    </row>
    <row r="13758">
      <c r="A13758" s="3"/>
      <c r="B13758" s="3"/>
      <c r="C13758" s="3"/>
      <c r="D13758" s="4"/>
      <c r="E13758" s="3"/>
    </row>
    <row r="13759">
      <c r="A13759" s="3"/>
      <c r="B13759" s="3"/>
      <c r="C13759" s="3"/>
      <c r="D13759" s="4"/>
      <c r="E13759" s="3"/>
    </row>
    <row r="13760">
      <c r="A13760" s="3"/>
      <c r="B13760" s="3"/>
      <c r="C13760" s="3"/>
      <c r="D13760" s="4"/>
      <c r="E13760" s="3"/>
    </row>
    <row r="13761">
      <c r="A13761" s="3"/>
      <c r="B13761" s="3"/>
      <c r="C13761" s="3"/>
      <c r="D13761" s="4"/>
      <c r="E13761" s="3"/>
    </row>
    <row r="13762">
      <c r="A13762" s="3"/>
      <c r="B13762" s="3"/>
      <c r="C13762" s="3"/>
      <c r="D13762" s="4"/>
      <c r="E13762" s="3"/>
    </row>
    <row r="13763">
      <c r="A13763" s="3"/>
      <c r="B13763" s="3"/>
      <c r="C13763" s="3"/>
      <c r="D13763" s="4"/>
      <c r="E13763" s="3"/>
    </row>
    <row r="13764">
      <c r="A13764" s="3"/>
      <c r="B13764" s="3"/>
      <c r="C13764" s="3"/>
      <c r="D13764" s="4"/>
      <c r="E13764" s="3"/>
    </row>
    <row r="13765">
      <c r="A13765" s="3"/>
      <c r="B13765" s="3"/>
      <c r="C13765" s="3"/>
      <c r="D13765" s="4"/>
      <c r="E13765" s="3"/>
    </row>
    <row r="13766">
      <c r="A13766" s="3"/>
      <c r="B13766" s="3"/>
      <c r="C13766" s="3"/>
      <c r="D13766" s="4"/>
      <c r="E13766" s="3"/>
    </row>
    <row r="13767">
      <c r="A13767" s="3"/>
      <c r="B13767" s="3"/>
      <c r="C13767" s="3"/>
      <c r="D13767" s="4"/>
      <c r="E13767" s="3"/>
    </row>
    <row r="13768">
      <c r="A13768" s="3"/>
      <c r="B13768" s="3"/>
      <c r="C13768" s="3"/>
      <c r="D13768" s="4"/>
      <c r="E13768" s="3"/>
    </row>
    <row r="13769">
      <c r="A13769" s="3"/>
      <c r="B13769" s="3"/>
      <c r="C13769" s="3"/>
      <c r="D13769" s="4"/>
      <c r="E13769" s="3"/>
    </row>
    <row r="13770">
      <c r="A13770" s="3"/>
      <c r="B13770" s="3"/>
      <c r="C13770" s="3"/>
      <c r="D13770" s="4"/>
      <c r="E13770" s="3"/>
    </row>
    <row r="13771">
      <c r="A13771" s="3"/>
      <c r="B13771" s="3"/>
      <c r="C13771" s="3"/>
      <c r="D13771" s="4"/>
      <c r="E13771" s="3"/>
    </row>
    <row r="13772">
      <c r="A13772" s="3"/>
      <c r="B13772" s="3"/>
      <c r="C13772" s="3"/>
      <c r="D13772" s="4"/>
      <c r="E13772" s="3"/>
    </row>
    <row r="13773">
      <c r="A13773" s="3"/>
      <c r="B13773" s="3"/>
      <c r="C13773" s="3"/>
      <c r="D13773" s="4"/>
      <c r="E13773" s="3"/>
    </row>
    <row r="13774">
      <c r="A13774" s="3"/>
      <c r="B13774" s="3"/>
      <c r="C13774" s="3"/>
      <c r="D13774" s="4"/>
      <c r="E13774" s="3"/>
    </row>
    <row r="13775">
      <c r="A13775" s="3"/>
      <c r="B13775" s="3"/>
      <c r="C13775" s="3"/>
      <c r="D13775" s="4"/>
      <c r="E13775" s="3"/>
    </row>
    <row r="13776">
      <c r="A13776" s="3"/>
      <c r="B13776" s="3"/>
      <c r="C13776" s="3"/>
      <c r="D13776" s="4"/>
      <c r="E13776" s="3"/>
    </row>
    <row r="13777">
      <c r="A13777" s="3"/>
      <c r="B13777" s="3"/>
      <c r="C13777" s="3"/>
      <c r="D13777" s="4"/>
      <c r="E13777" s="3"/>
    </row>
    <row r="13778">
      <c r="A13778" s="3"/>
      <c r="B13778" s="3"/>
      <c r="C13778" s="3"/>
      <c r="D13778" s="4"/>
      <c r="E13778" s="3"/>
    </row>
    <row r="13779">
      <c r="A13779" s="3"/>
      <c r="B13779" s="3"/>
      <c r="C13779" s="3"/>
      <c r="D13779" s="4"/>
      <c r="E13779" s="3"/>
    </row>
    <row r="13780">
      <c r="A13780" s="3"/>
      <c r="B13780" s="3"/>
      <c r="C13780" s="3"/>
      <c r="D13780" s="4"/>
      <c r="E13780" s="3"/>
    </row>
    <row r="13781">
      <c r="A13781" s="3"/>
      <c r="B13781" s="3"/>
      <c r="C13781" s="3"/>
      <c r="D13781" s="4"/>
      <c r="E13781" s="3"/>
    </row>
    <row r="13782">
      <c r="A13782" s="3"/>
      <c r="B13782" s="3"/>
      <c r="C13782" s="3"/>
      <c r="D13782" s="4"/>
      <c r="E13782" s="3"/>
    </row>
    <row r="13783">
      <c r="A13783" s="3"/>
      <c r="B13783" s="3"/>
      <c r="C13783" s="3"/>
      <c r="D13783" s="4"/>
      <c r="E13783" s="3"/>
    </row>
    <row r="13784">
      <c r="A13784" s="3"/>
      <c r="B13784" s="3"/>
      <c r="C13784" s="3"/>
      <c r="D13784" s="4"/>
      <c r="E13784" s="3"/>
    </row>
    <row r="13785">
      <c r="A13785" s="3"/>
      <c r="B13785" s="3"/>
      <c r="C13785" s="3"/>
      <c r="D13785" s="4"/>
      <c r="E13785" s="3"/>
    </row>
    <row r="13786">
      <c r="A13786" s="3"/>
      <c r="B13786" s="3"/>
      <c r="C13786" s="3"/>
      <c r="D13786" s="4"/>
      <c r="E13786" s="3"/>
    </row>
    <row r="13787">
      <c r="A13787" s="3"/>
      <c r="B13787" s="3"/>
      <c r="C13787" s="3"/>
      <c r="D13787" s="4"/>
      <c r="E13787" s="3"/>
    </row>
    <row r="13788">
      <c r="A13788" s="3"/>
      <c r="B13788" s="3"/>
      <c r="C13788" s="3"/>
      <c r="D13788" s="4"/>
      <c r="E13788" s="3"/>
    </row>
    <row r="13789">
      <c r="A13789" s="3"/>
      <c r="B13789" s="3"/>
      <c r="C13789" s="3"/>
      <c r="D13789" s="4"/>
      <c r="E13789" s="3"/>
    </row>
    <row r="13790">
      <c r="A13790" s="3"/>
      <c r="B13790" s="3"/>
      <c r="C13790" s="3"/>
      <c r="D13790" s="4"/>
      <c r="E13790" s="3"/>
    </row>
    <row r="13791">
      <c r="A13791" s="3"/>
      <c r="B13791" s="3"/>
      <c r="C13791" s="3"/>
      <c r="D13791" s="4"/>
      <c r="E13791" s="3"/>
    </row>
    <row r="13792">
      <c r="A13792" s="3"/>
      <c r="B13792" s="3"/>
      <c r="C13792" s="3"/>
      <c r="D13792" s="4"/>
      <c r="E13792" s="3"/>
    </row>
    <row r="13793">
      <c r="A13793" s="3"/>
      <c r="B13793" s="3"/>
      <c r="C13793" s="3"/>
      <c r="D13793" s="4"/>
      <c r="E13793" s="3"/>
    </row>
    <row r="13794">
      <c r="A13794" s="3"/>
      <c r="B13794" s="3"/>
      <c r="C13794" s="3"/>
      <c r="D13794" s="4"/>
      <c r="E13794" s="3"/>
    </row>
    <row r="13795">
      <c r="A13795" s="3"/>
      <c r="B13795" s="3"/>
      <c r="C13795" s="3"/>
      <c r="D13795" s="4"/>
      <c r="E13795" s="3"/>
    </row>
    <row r="13796">
      <c r="A13796" s="3"/>
      <c r="B13796" s="3"/>
      <c r="C13796" s="3"/>
      <c r="D13796" s="4"/>
      <c r="E13796" s="3"/>
    </row>
    <row r="13797">
      <c r="A13797" s="3"/>
      <c r="B13797" s="3"/>
      <c r="C13797" s="3"/>
      <c r="D13797" s="4"/>
      <c r="E13797" s="3"/>
    </row>
    <row r="13798">
      <c r="A13798" s="3"/>
      <c r="B13798" s="3"/>
      <c r="C13798" s="3"/>
      <c r="D13798" s="4"/>
      <c r="E13798" s="3"/>
    </row>
    <row r="13799">
      <c r="A13799" s="3"/>
      <c r="B13799" s="3"/>
      <c r="C13799" s="3"/>
      <c r="D13799" s="4"/>
      <c r="E13799" s="3"/>
    </row>
    <row r="13800">
      <c r="A13800" s="3"/>
      <c r="B13800" s="3"/>
      <c r="C13800" s="3"/>
      <c r="D13800" s="4"/>
      <c r="E13800" s="3"/>
    </row>
    <row r="13801">
      <c r="A13801" s="3"/>
      <c r="B13801" s="3"/>
      <c r="C13801" s="3"/>
      <c r="D13801" s="4"/>
      <c r="E13801" s="3"/>
    </row>
    <row r="13802">
      <c r="A13802" s="3"/>
      <c r="B13802" s="3"/>
      <c r="C13802" s="3"/>
      <c r="D13802" s="4"/>
      <c r="E13802" s="3"/>
    </row>
    <row r="13803">
      <c r="A13803" s="3"/>
      <c r="B13803" s="3"/>
      <c r="C13803" s="3"/>
      <c r="D13803" s="4"/>
      <c r="E13803" s="3"/>
    </row>
    <row r="13804">
      <c r="A13804" s="3"/>
      <c r="B13804" s="3"/>
      <c r="C13804" s="3"/>
      <c r="D13804" s="4"/>
      <c r="E13804" s="3"/>
    </row>
    <row r="13805">
      <c r="A13805" s="3"/>
      <c r="B13805" s="3"/>
      <c r="C13805" s="3"/>
      <c r="D13805" s="4"/>
      <c r="E13805" s="3"/>
    </row>
    <row r="13806">
      <c r="A13806" s="3"/>
      <c r="B13806" s="3"/>
      <c r="C13806" s="3"/>
      <c r="D13806" s="4"/>
      <c r="E13806" s="3"/>
    </row>
    <row r="13807">
      <c r="A13807" s="3"/>
      <c r="B13807" s="3"/>
      <c r="C13807" s="3"/>
      <c r="D13807" s="4"/>
      <c r="E13807" s="3"/>
    </row>
    <row r="13808">
      <c r="A13808" s="3"/>
      <c r="B13808" s="3"/>
      <c r="C13808" s="3"/>
      <c r="D13808" s="4"/>
      <c r="E13808" s="3"/>
    </row>
    <row r="13809">
      <c r="A13809" s="3"/>
      <c r="B13809" s="3"/>
      <c r="C13809" s="3"/>
      <c r="D13809" s="4"/>
      <c r="E13809" s="3"/>
    </row>
    <row r="13810">
      <c r="A13810" s="3"/>
      <c r="B13810" s="3"/>
      <c r="C13810" s="3"/>
      <c r="D13810" s="4"/>
      <c r="E13810" s="3"/>
    </row>
    <row r="13811">
      <c r="A13811" s="3"/>
      <c r="B13811" s="3"/>
      <c r="C13811" s="3"/>
      <c r="D13811" s="4"/>
      <c r="E13811" s="3"/>
    </row>
    <row r="13812">
      <c r="A13812" s="3"/>
      <c r="B13812" s="3"/>
      <c r="C13812" s="3"/>
      <c r="D13812" s="4"/>
      <c r="E13812" s="3"/>
    </row>
    <row r="13813">
      <c r="A13813" s="3"/>
      <c r="B13813" s="3"/>
      <c r="C13813" s="3"/>
      <c r="D13813" s="4"/>
      <c r="E13813" s="3"/>
    </row>
    <row r="13814">
      <c r="A13814" s="3"/>
      <c r="B13814" s="3"/>
      <c r="C13814" s="3"/>
      <c r="D13814" s="4"/>
      <c r="E13814" s="3"/>
    </row>
    <row r="13815">
      <c r="A13815" s="3"/>
      <c r="B13815" s="3"/>
      <c r="C13815" s="3"/>
      <c r="D13815" s="4"/>
      <c r="E13815" s="3"/>
    </row>
    <row r="13816">
      <c r="A13816" s="3"/>
      <c r="B13816" s="3"/>
      <c r="C13816" s="3"/>
      <c r="D13816" s="4"/>
      <c r="E13816" s="3"/>
    </row>
    <row r="13817">
      <c r="A13817" s="3"/>
      <c r="B13817" s="3"/>
      <c r="C13817" s="3"/>
      <c r="D13817" s="4"/>
      <c r="E13817" s="3"/>
    </row>
    <row r="13818">
      <c r="A13818" s="3"/>
      <c r="B13818" s="3"/>
      <c r="C13818" s="3"/>
      <c r="D13818" s="4"/>
      <c r="E13818" s="3"/>
    </row>
    <row r="13819">
      <c r="A13819" s="3"/>
      <c r="B13819" s="3"/>
      <c r="C13819" s="3"/>
      <c r="D13819" s="4"/>
      <c r="E13819" s="3"/>
    </row>
    <row r="13820">
      <c r="A13820" s="3"/>
      <c r="B13820" s="3"/>
      <c r="C13820" s="3"/>
      <c r="D13820" s="4"/>
      <c r="E13820" s="3"/>
    </row>
    <row r="13821">
      <c r="A13821" s="3"/>
      <c r="B13821" s="3"/>
      <c r="C13821" s="3"/>
      <c r="D13821" s="4"/>
      <c r="E13821" s="3"/>
    </row>
    <row r="13822">
      <c r="A13822" s="3"/>
      <c r="B13822" s="3"/>
      <c r="C13822" s="3"/>
      <c r="D13822" s="4"/>
      <c r="E13822" s="3"/>
    </row>
    <row r="13823">
      <c r="A13823" s="3"/>
      <c r="B13823" s="3"/>
      <c r="C13823" s="3"/>
      <c r="D13823" s="4"/>
      <c r="E13823" s="3"/>
    </row>
    <row r="13824">
      <c r="A13824" s="3"/>
      <c r="B13824" s="3"/>
      <c r="C13824" s="3"/>
      <c r="D13824" s="4"/>
      <c r="E13824" s="3"/>
    </row>
    <row r="13825">
      <c r="A13825" s="3"/>
      <c r="B13825" s="3"/>
      <c r="C13825" s="3"/>
      <c r="D13825" s="4"/>
      <c r="E13825" s="3"/>
    </row>
    <row r="13826">
      <c r="A13826" s="3"/>
      <c r="B13826" s="3"/>
      <c r="C13826" s="3"/>
      <c r="D13826" s="4"/>
      <c r="E13826" s="3"/>
    </row>
    <row r="13827">
      <c r="A13827" s="3"/>
      <c r="B13827" s="3"/>
      <c r="C13827" s="3"/>
      <c r="D13827" s="4"/>
      <c r="E13827" s="3"/>
    </row>
    <row r="13828">
      <c r="A13828" s="3"/>
      <c r="B13828" s="3"/>
      <c r="C13828" s="3"/>
      <c r="D13828" s="4"/>
      <c r="E13828" s="3"/>
    </row>
    <row r="13829">
      <c r="A13829" s="3"/>
      <c r="B13829" s="3"/>
      <c r="C13829" s="3"/>
      <c r="D13829" s="4"/>
      <c r="E13829" s="3"/>
    </row>
    <row r="13830">
      <c r="A13830" s="3"/>
      <c r="B13830" s="3"/>
      <c r="C13830" s="3"/>
      <c r="D13830" s="4"/>
      <c r="E13830" s="3"/>
    </row>
    <row r="13831">
      <c r="A13831" s="3"/>
      <c r="B13831" s="3"/>
      <c r="C13831" s="3"/>
      <c r="D13831" s="4"/>
      <c r="E13831" s="3"/>
    </row>
    <row r="13832">
      <c r="A13832" s="3"/>
      <c r="B13832" s="3"/>
      <c r="C13832" s="3"/>
      <c r="D13832" s="4"/>
      <c r="E13832" s="3"/>
    </row>
    <row r="13833">
      <c r="A13833" s="3"/>
      <c r="B13833" s="3"/>
      <c r="C13833" s="3"/>
      <c r="D13833" s="4"/>
      <c r="E13833" s="3"/>
    </row>
    <row r="13834">
      <c r="A13834" s="3"/>
      <c r="B13834" s="3"/>
      <c r="C13834" s="3"/>
      <c r="D13834" s="4"/>
      <c r="E13834" s="3"/>
    </row>
    <row r="13835">
      <c r="A13835" s="3"/>
      <c r="B13835" s="3"/>
      <c r="C13835" s="3"/>
      <c r="D13835" s="4"/>
      <c r="E13835" s="3"/>
    </row>
    <row r="13836">
      <c r="A13836" s="3"/>
      <c r="B13836" s="3"/>
      <c r="C13836" s="3"/>
      <c r="D13836" s="4"/>
      <c r="E13836" s="3"/>
    </row>
    <row r="13837">
      <c r="A13837" s="3"/>
      <c r="B13837" s="3"/>
      <c r="C13837" s="3"/>
      <c r="D13837" s="4"/>
      <c r="E13837" s="3"/>
    </row>
    <row r="13838">
      <c r="A13838" s="3"/>
      <c r="B13838" s="3"/>
      <c r="C13838" s="3"/>
      <c r="D13838" s="4"/>
      <c r="E13838" s="3"/>
    </row>
    <row r="13839">
      <c r="A13839" s="3"/>
      <c r="B13839" s="3"/>
      <c r="C13839" s="3"/>
      <c r="D13839" s="4"/>
      <c r="E13839" s="3"/>
    </row>
    <row r="13840">
      <c r="A13840" s="3"/>
      <c r="B13840" s="3"/>
      <c r="C13840" s="3"/>
      <c r="D13840" s="4"/>
      <c r="E13840" s="3"/>
    </row>
    <row r="13841">
      <c r="A13841" s="3"/>
      <c r="B13841" s="3"/>
      <c r="C13841" s="3"/>
      <c r="D13841" s="4"/>
      <c r="E13841" s="3"/>
    </row>
    <row r="13842">
      <c r="A13842" s="3"/>
      <c r="B13842" s="3"/>
      <c r="C13842" s="3"/>
      <c r="D13842" s="4"/>
      <c r="E13842" s="3"/>
    </row>
    <row r="13843">
      <c r="A13843" s="3"/>
      <c r="B13843" s="3"/>
      <c r="C13843" s="3"/>
      <c r="D13843" s="4"/>
      <c r="E13843" s="3"/>
    </row>
    <row r="13844">
      <c r="A13844" s="3"/>
      <c r="B13844" s="3"/>
      <c r="C13844" s="3"/>
      <c r="D13844" s="4"/>
      <c r="E13844" s="3"/>
    </row>
    <row r="13845">
      <c r="A13845" s="3"/>
      <c r="B13845" s="3"/>
      <c r="C13845" s="3"/>
      <c r="D13845" s="4"/>
      <c r="E13845" s="3"/>
    </row>
  </sheetData>
  <conditionalFormatting sqref="A2:E12845">
    <cfRule type="expression" dxfId="0" priority="1">
      <formula>AND($H2=0,$I2=0)</formula>
    </cfRule>
  </conditionalFormatting>
  <conditionalFormatting sqref="A2:E12845">
    <cfRule type="expression" dxfId="1" priority="2">
      <formula>AND($H2=0,$I2=1)</formula>
    </cfRule>
  </conditionalFormatting>
  <conditionalFormatting sqref="A2:E12845">
    <cfRule type="expression" dxfId="2" priority="3">
      <formula>AND($H2=1,$I2=1)</formula>
    </cfRule>
  </conditionalFormatting>
  <conditionalFormatting sqref="A2:E12845">
    <cfRule type="expression" dxfId="3" priority="4">
      <formula>AND($H2=1,$I2=0)</formula>
    </cfRule>
  </conditionalFormatting>
  <drawing r:id="rId1"/>
</worksheet>
</file>